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6440" activeTab="0"/>
  </bookViews>
  <sheets>
    <sheet name="FCPR " sheetId="1" r:id="rId1"/>
    <sheet name="KI - Etap 1" sheetId="2" state="hidden" r:id="rId2"/>
    <sheet name="KI - Etap2" sheetId="3" state="hidden" r:id="rId3"/>
  </sheets>
  <definedNames>
    <definedName name="_xlnm.Print_Area" localSheetId="0">'FCPR '!$A$1:$F$286</definedName>
    <definedName name="_xlnm.Print_Titles" localSheetId="0">'FCPR '!$3:$6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1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<sst xmlns="http://schemas.openxmlformats.org/spreadsheetml/2006/main" count="1296" uniqueCount="295">
  <si>
    <t>Mechaniczne ścinanie drzew o średnicy 26-35 cm wraz z karczowaniem pni oraz wywiezieniem dłużyc, gałęzi i karpiny na odległość do 5 km; karpinę oraz gałęzie &lt;8cm zutylizować na składowisku oraz na koszt Wykonawcy</t>
  </si>
  <si>
    <t>Mechaniczne ścinanie drzew o średnicy 36-45 cm wraz z karczowaniem pni oraz wywiezieniem dłużyc, gałęzi i karpiny na odległość do 5 km; karpinę oraz gałęzie &lt;8cm zutylizować na składowisku oraz na koszt Wykonawcy</t>
  </si>
  <si>
    <t>Rozebranie nawierzchni z betonowej kostki "trylinki" (zjazdy na posesje) wraz z przekruszeniem na przekrusz betonowy frakcji ok. 0/31mm i składowaniem materiału do późniejszego wbudowania</t>
  </si>
  <si>
    <t>materiału z rozbiórki na składowisko Zamawiającego  do 3.0km</t>
  </si>
  <si>
    <t>Rozebranie nawierzchni betonowej (wejścia, zjazdy na posesje) wraz z przekruszeniem na przekrusz betonowy frakcji ok. 0/31mm i składowaniem materiału do późniejszego wbudowania</t>
  </si>
  <si>
    <t>Rozbiórka krawężników kamiennych 17x26cm wraz ze składowaniem materiału do późniejszego wbudowania ok. 50%, pozostały materiał przewieść na składowisko Zamawiającego do 2.0km</t>
  </si>
  <si>
    <t>Rozbiórka krawężników betonowych 10x30cm  wraz z przekruszeniem na przekrusz betonowy frakcji ok. 0/31mm i składowaniem materiału do późniejszego wbudowania</t>
  </si>
  <si>
    <t>Rozbiórka obrzeży betonowych 6x25cm  wraz z przekruszeniem na przekrusz betonowy frakcji ok. 0/31mm i składowaniem materiału do późniejszego wbudowania</t>
  </si>
  <si>
    <t>Wykonanie nasypów z piasku (najlepiej średnioziarnistego, materiał pozyskać z kopalni) - warstwa uzupełniająca pod ciągami pieszymi oraz terenami zielonymi śred. miąższości w-wy 10cm - ciąg ulic Rycerskiej, Żymierskiego, Sikorskiego oraz profilowanie poboczy na odcinku poza miejskim</t>
  </si>
  <si>
    <t>Wykopy oraz przekopy wykonywane na odkład koparkami podsiębiernymi o pojemności łyżki 0,25 m3, głębokość wykopu do 3,00m. Grunt kategorii III-IV</t>
  </si>
  <si>
    <t>Nakłady materiałów na 1,0 m (rura) przyłącza wodociągowego z rur PVC łączonych na wcisk i uszczelkę gumową.Rurociąg o średnicy zewnętrznej 200mm</t>
  </si>
  <si>
    <t>Regulacja pionowa wpustów deszczowych zlokalizowanych w jezdni wraz z montażem syfonu.</t>
  </si>
  <si>
    <t>Warstwa podbudowy z przekruszu betonowego frakcji ok. 0/31mm stabilizowanego mechanicznie grubości warstwy po zagęszczeniu 10 cm pod nawierzchnię z betonu asfaltowego AC11S ciągu pieszo-rowerowego,</t>
  </si>
  <si>
    <t>Warstwa podbudowy zasadniczej z przekruszu betonowego frakcji ok. 0/31mm stabilizowanego mechanicznie grubości warstwy po zagęszczeniu 20cm pod nawierzchnię z kostki betonowej wzór "starobruk" grub. 8 cm, grafit - zjazdy i zatoki postojowe w obrębie ulicy Dąbrowskiego</t>
  </si>
  <si>
    <t>Wyrównanie istniejącej podbudowy z kruszywa naturalnego łamanego stabilizowanego mechanicznie średniej grubości warstwy po zagęszczeniu ok. 10 cm pod nawierzchnię jezdni z kostki granitowej 15/17 w obrębie ulicy Dąbrowskiego</t>
  </si>
  <si>
    <t>Mechaniczne ścinanie grupy drzew o średnicy 2-35 cm wraz z karczowaniem pni oraz wywiezieniem dłużyc, gałęzi i karpiny na odległość do 5 km</t>
  </si>
  <si>
    <t>Część nr 1 - Przebudowa ciągu komunikacyjnego centralnej strefy miasta Gubina - ulica Dąbrowskiego</t>
  </si>
  <si>
    <t>Część nr 2 – ul. Rycerska, Platanowa (Żymierskiego) i Sikorskiego</t>
  </si>
  <si>
    <t>Część nr 3 – odcinek pozamiejski</t>
  </si>
  <si>
    <t>Mechaniczne ścinanie drzew o średnicy 10-25 cm wraz z karczowaniem pni oraz wywiezieniem dłużyc, gałęzi i karpiny na odległość do 5 km; karpinę oraz gałęzie &lt;8cm zutylizować na składowisku oraz na koszt Wykonawcy</t>
  </si>
  <si>
    <t>Mechaniczne ścinanie drzew o średnicy 46-55 cm wraz z karczowaniem pni oraz wywiezieniem dłużyc, gałęzi i karpiny na odległość do 5 km; karpinę oraz gałęzie &lt;8cm zutylizować na składowisku oraz na koszt Wykonawcy</t>
  </si>
  <si>
    <t>Mechaniczne ścinanie drzew o średnicy 66-75 cm wraz z karczowaniem pni oraz wywiezieniem dłużyc, gałęzi i karpiny na odległość do 5km; karpinę oraz gałęzie &lt;8cm zutylizować na składowisku oraz na koszt Wykonawcy</t>
  </si>
  <si>
    <t>Mechaniczne ścinanie drzew o średnicy 76-85 cm wraz z karczowaniem pni oraz wywiezieniem dłużyc, gałęzi i karpiny na odległość do 5 km; karpinę oraz gałęzie &lt;8cm zutylizować na składowisku oraz na koszt Wykonawcy</t>
  </si>
  <si>
    <t>Mechaniczne ścinanie drzew o średnicy 86-95 cm wraz z karczowaniem pni oraz wywiezieniem dłużyc, gałęzi i karpiny na odległość do 5km; karpinę oraz gałęzie &lt;8cm zutylizować na składowisku oraz na koszt Wykonawcy</t>
  </si>
  <si>
    <t>Rozebranie nawierzchni z kostki kamiennej 15x17cm wraz z oczyszczeniem i składowaniem materiału do późniejszego wbudowania</t>
  </si>
  <si>
    <t>Rozebranie nawierzchni z kostki kamiennej 10x10cm wraz z przewiezieniem materiału z rozbiórki na składowisko Zamawiającego do 3.0km</t>
  </si>
  <si>
    <t>Rozebranie nawierzchni z kostki kamiennej nieregularnej wraz z wywiezieniem materiału z rozbiórki na odl. Do 3km</t>
  </si>
  <si>
    <t>Nawierzchnia zjazdów i zatok postojowych z kostki betonowej wzór "starobruk" grub. 8 cm, grafit; na podsypce z miału kamiennego 0/5mm grub. 3cm.</t>
  </si>
  <si>
    <t>Nawierzchnia ciągu pieszo-rowerowego z kostki betonowej wzór "starobruk" grub. 8 cm, czerwona;na podsypce z miału kamiennego 0/5mm grub. 3cm.</t>
  </si>
  <si>
    <t>Ustawienie krawężników betonowych drogowych o wymiarach 15x30 cm na podsypce cementowo piaskowej i ławie betonowej z oporem z betonu B15</t>
  </si>
  <si>
    <t>Ustawienie krawężników betonowych "najazdowych" o wymiarach 15x22 cm na podsypce cementowo piaskowej i ławie betonowej z oporem z betonu B15</t>
  </si>
  <si>
    <t>Ustawienie krawężników kamiennych o wymiarach 26x17cm na ławie betonowej z oporem z betonu 15MPa, (krawężnik z rozbiórki wg poz. 17)</t>
  </si>
  <si>
    <t>ST-08 (ORANGE)</t>
  </si>
  <si>
    <t>Podwyższenie o 20cm włazu studni 500x1000</t>
  </si>
  <si>
    <t>ST-08 (NETIA)</t>
  </si>
  <si>
    <t>Budowa kanalizacji z rur PCW w gr. Kat.III 1 warstwa w ciągu kan., 1 rur.w warstwie, 1owt. w ciągu kan. - budowa kanalizacji z rur A120PS</t>
  </si>
  <si>
    <t>Roboty pomiarowe przy liniowych rob. Ziemnych w terenie płaskim</t>
  </si>
  <si>
    <t>Mechaniczne ścinanie drzew o średnicy 106-115 cm wraz z karczowaniem pni oraz wywiezieniem dłużyc, gałęzi i karpiny na odległość do 5km; karpinę oraz gałęzie &lt;8cm zutylizować na składowisku oraz na koszt Wykonawcy</t>
  </si>
  <si>
    <t>Usuniecie _olland ziemi urodzajnej (humusu) o grub. Warstwy średnio  15 cm ze składowaniem nadmiaru na składowisku Wykonawcy lub miejscu wskazanym przez Inwestora (do 10km)</t>
  </si>
  <si>
    <t>Regulacja pionowa włazów studni rewizyjnych zlokalizowanych w chodniku</t>
  </si>
  <si>
    <t>Regulacja pionowa włazów studni rewizyjnych zlokalizowanych w jezdni</t>
  </si>
  <si>
    <t>Regulacja pionowa zaworów wodociągowych zlokalizowanych w chodniku</t>
  </si>
  <si>
    <t>Regulacja pionowa zaworów wodociągowych zlokalizowanych w jezdni</t>
  </si>
  <si>
    <t>Regulacja pionowa zaworów sieci gazowej zlokalizowanych w chodniku</t>
  </si>
  <si>
    <t>Regulacja pionowa zaworów sieci gazowej zlokalizowanych w jezdni</t>
  </si>
  <si>
    <t>Profilowanie i zagęszczenie podłoża pod wartwy konstrukcyjne nawierzchni</t>
  </si>
  <si>
    <t>Nawierzchnia chodników z kostki betonowej wzór "starobruk" grub. 8 cm, szara; na podsypce z miału kamiennego 0/5mm grub. 3cm</t>
  </si>
  <si>
    <t>Nawierzchnia jezdni z kostki granitowej 15/17; na podsypce cementowo-piaskowej grub. 5cm. (materiał z rozbiórki, po uprzednim oczyszczeniu)</t>
  </si>
  <si>
    <t>Plantowanie i uzupełnianie humusem terenów zielonych. Materiał z dowozu.</t>
  </si>
  <si>
    <t>Oznakowanie poziome cienkowarstwowe - oznakowanie uzupełniające(poprzeczne, strzałki, pola wyłączenia z ruchu)</t>
  </si>
  <si>
    <t>Ustawienie betonowych obrzeży chodnikowych o wymiarach 6x25 cm na podsypce cementowo piaskowej</t>
  </si>
  <si>
    <t>Przekładanie kabla doziemnego o śred. do 50mm w rowiekablowym grunt kat. III - pierwszy</t>
  </si>
  <si>
    <t>Rozebranie nawierzchni bitumicznej jezdni drogi głównej śred. Grub. 9 cm (jezdnia drogi głównej + przyległe skrzyżowania + zatoki autobusowe + odcinek pozamiejski + poszerzenia) wraz z wywiezieniem materiału z rozbiórki na odl. 10 km</t>
  </si>
  <si>
    <t>Rozebranie nawierzchni bitumicznej zjazdów i poboczy utwardzonych śred. Grub. 5 cm wraz z wywiezieniem materiału z rozbiórki na odl.10km</t>
  </si>
  <si>
    <t>Rozebranie podbudowy z kruszywa łamanego jezdni drogi głównej śred. Grub. 15 cm (jezdnia drogi głównej + wcięcia na początku i końcu odcinka + przyległe skrzyżowania+odcinek pozamiejski + poszerzenia) wraz ze składowaniem materiału do późniejszego wbudowania</t>
  </si>
  <si>
    <t>Rozebranie podbudowy z kruszywa łamanego zjazdów i poboczy utwardzonych śred. Grub. 10 cm wraz ze składowaniem materiału do późniejszego wbudowania</t>
  </si>
  <si>
    <t>Rozebranie nawierzchni z płyt chodnikowych 35x35cm (chodnik podjazdy) wraz z przekruszeniem na przekrusz betonowy frakcji _o. 0/31mm i składowaniem materiału do późniejszego wbudowania</t>
  </si>
  <si>
    <t>Rozebranie nawierzchni z betonowej kostki brukowej (chodnik podjazdy, ciąg pieszo-rowerowy) wraz z przekruszeniem na przekrusz betonowy frakcji _o. 0/31mm i składowaniem materiału do późniejszego wbudowania</t>
  </si>
  <si>
    <t>Rozebranie nawierzchni z betonowej kostki „trylinki” (zjazdy na posesje) wraz z przekruszeniem na przekrusz betonowy frakcji _o. 0/31mm i składowaniem materiału do późniejszego wbudowania</t>
  </si>
  <si>
    <t>Rozebranie nawierzchni betonowej (wejścia, zjazdy na posesje) wraz z przekruszeniem na przekrusz betonowy frakcji _o. 0/31mm i składowaniem materiału do późniejszego wbudowania</t>
  </si>
  <si>
    <t>Rozebranie nawierzchni z betonowych płyt ażurowych (zjazdy na posesje) wraz z przekruszeniem na przekrusz betonowy frakcji _o. 0/31mm i składowaniem materiału do późniejszego wbudowania</t>
  </si>
  <si>
    <t>Rozbiórka krawężników kamiennych 17x26cm wraz ze składowaniem materiału do późniejszego wbudowania _o. 50%, pozostały materiał przewieść na składowisko Zamawiającego do 2.0km</t>
  </si>
  <si>
    <t>Rozbiórka krawężników kamiennych 10x30cm(15x30cm) wraz ze składowaniem materiału do późniejszego wbudowania</t>
  </si>
  <si>
    <t>Rozbiórka krawężników betonowych 10x30cm  wraz z przekruszeniem na przekrusz betonowy frakcji _o. 0/31mm i składowaniem materiału do późniejszego wbudowania</t>
  </si>
  <si>
    <t xml:space="preserve">Rozebranie nawierzchni z kostki kamiennej 10x10cm wraz z
przewiezieniem materiału z rozbiórki na składowisko Zamawiającego do
3.0km
</t>
  </si>
  <si>
    <t xml:space="preserve">Rozebranie nawierzchni z kostki kamiennej 6x6cm wraz z przewiezieniem </t>
  </si>
  <si>
    <t>Demontaż studzienek ściekowych ulicznych betonowych o średnicy 500 mm z osadnikiem i syfonem.</t>
  </si>
  <si>
    <t>Rozbiórka obrzeży betonowych 6x25cm  wraz z przekruszeniem na przekrusz betonowy frakcji _o. 0/31mm i składowaniem materiału do późniejszego wbudowania</t>
  </si>
  <si>
    <t>Wykonanie nasypów z piasku (najlepiej średnioziarnistego, materiał pozyskać z kopalni) – warstwa uzupełniająca pod ciągami pieszymi oraz terenami zielonymi śred. Miąższości w-wy 10cm – ciąg ulic Rycerskiej, Żymierskiego, Sikorskiego oraz profilowanie poboczy na odcinku poza miejskim</t>
  </si>
  <si>
    <t>Studzienki kanalizacyjne systemowe z tworzywa TEGRA 600 przykanalikiem długości śred. 1.0m, wpustem ulicznym D400 i osadnikiem H=0.90 m oraz syfonem. Zamknięcie rurą teleskopową z wpustem ulicznym, kineta stud. Z PP</t>
  </si>
  <si>
    <t>Wykonanie koryta pod warstwy konstrukcyjne jezdni zjazdów i zatok postojowych na średnią głębębokość 25cm, w gruntach kat.II-IV z odwozem gruntu na składowisko Wykonawcy</t>
  </si>
  <si>
    <t>Warstwa podbudowy z przekruszu betonowego frakcji _o. 0/31mm stabilizowanego mechanicznie grubości warstwy po zagęszczeniu 10 cm pod nawierzchnię z betonu asfaltowego AC11S ciągu pieszo-rowerowego,</t>
  </si>
  <si>
    <t>Warstwa podbudowy z przekruszu betonowego frakcji _o. 0/31mm stabilizowanego mechanicznie grubości warstwy po zagęszczeniu 20 cm pod nawierzchnię zjazdów oraz zatok postojowych</t>
  </si>
  <si>
    <t>Warstwa podbudowy z kruszywa naturalnego łamanego stabilizowanego mechanicznie grubości warstwy po zagęszczeniu 20 cm pod nawierzchnię bitumi. Jezdni drogi głównej w miejscach poszerzenia oraz przebudowy skrzyżowań</t>
  </si>
  <si>
    <t>Warstwa wiążąca na poszerzeniach jezdni z AC16W grubość warstwy po zagęszczeniu 8 cm.</t>
  </si>
  <si>
    <t>Warstwa ścieralna jezdni drogi głównej z AC11S , grubość warstwy po zagęszczeniu 4 cm z oczyszczeniem i skropieniem</t>
  </si>
  <si>
    <t>Warstwa ścieralna zjazdów bitumicznych z AC11S, grubość warstwy po zagęszczeniu 4 cm z oczyszczeniem i skropieniem</t>
  </si>
  <si>
    <t>Warstwa ścieralna ciągu pieszo-rowerowego z AC11S, grubość warstwy po zagęszczeniu 4 cm.</t>
  </si>
  <si>
    <t>Nawierzchnia zjazdów z kostki betonowej typu „_olland” grub. 8 cm kolor: grafit; na podsypce z miału kamiennego 0/5mm grub. 3cm.</t>
  </si>
  <si>
    <t>Nawierzchnia ciągu pieszo-rowerowego z kostki betonowej typu „_olland” grub. 8 cm kolor: grafit, „bezfazowej”; na podsypce z miału kamiennego 0/5mm grub. 3cm.</t>
  </si>
  <si>
    <t>Humusowanie poboczy z obsianiem mieszanką traw niskich przy grubości warstwy humusu 10cm; materiał z dowozu</t>
  </si>
  <si>
    <t>Oznakowanie poziome grubowarstwowe – linie segregacyjne</t>
  </si>
  <si>
    <t>Oznakowanie poziome grubowarstwowe – linie krawędziowe</t>
  </si>
  <si>
    <t>Oznakowanie pionowe – tarcze znaków</t>
  </si>
  <si>
    <t>Oznakowanie pionowe – słupki</t>
  </si>
  <si>
    <t>Oznakowanie pionowe – demontaż tarcze</t>
  </si>
  <si>
    <t>Oznakowanie pionowe – demontaż słupki</t>
  </si>
  <si>
    <t>Oznakowanie pionowe – ponowny montaż tarcze</t>
  </si>
  <si>
    <t>Oznakowanie pionowe – ponowny montaż słupki</t>
  </si>
  <si>
    <t>Urządzenia zabezpieczające ruch pieszy i rowerowy – ogrodzenie łańcuchowe U-12b</t>
  </si>
  <si>
    <t>Ustawienie krawężników betonowych „najazdowych” o wymiarach 15x22 cm na podsypce cementowo piaskowej i ławie betonowej z oporem z betonu B15</t>
  </si>
  <si>
    <t>Ustawienie krawężników kamiennych o wymiarach 10x30cm (15x30cm) na podsypce cemento.-piask. I ławie betonowej z oporem z betonu 15Mpa, (krawężnik z rozbiórki wg poz. 17)</t>
  </si>
  <si>
    <t>USUNIĘCIE  KOLIZJI  TELEKOMUNIKACYJNYCH</t>
  </si>
  <si>
    <t>Budowa kanalizacji z rur PCW w gr. Kat.III 1 warstwa w ciągu kan., 1 rur.w warstwie, 1owt. W ciągu kan. – budowa kanalizacji z rur A120PS</t>
  </si>
  <si>
    <t xml:space="preserve">Mechaniczne ścinanie drzew o średnicy 26-35 cm wraz z karczowaniem
pni oraz wywiezieniem dłużyc, gałęzi i karpiny na odległość do 5 km; karpinę oraz gałęzie &lt;8cm zutylizować na składowisku oraz na koszt Wykonawcy
</t>
  </si>
  <si>
    <t xml:space="preserve">Mechaniczne ścinanie drzew o średnicy 86-95 cm wraz z karczowaniem
pni oraz wywiezieniem dłużyc, gałęzi i karpiny na odległość do 5km; karpinę oraz gałęzie &lt;8cm zutylizować na składowisku oraz na koszt
Wykonawcy
</t>
  </si>
  <si>
    <t xml:space="preserve">Rozebranie nawierzchni z kostki kamiennej 15x17cm wraz z oczyszczeniem
i składowaniem materiału do późniejszego wbudowania
</t>
  </si>
  <si>
    <t>Nr</t>
  </si>
  <si>
    <t>Nr SST</t>
  </si>
  <si>
    <t>Wyszczególnienie elementów rozliczeniowych</t>
  </si>
  <si>
    <t>PLN</t>
  </si>
  <si>
    <t>Ilość</t>
  </si>
  <si>
    <t>I</t>
  </si>
  <si>
    <t>ROBOTY PRZYGOTOWAWCZE</t>
  </si>
  <si>
    <t>D.01.01.01.</t>
  </si>
  <si>
    <t>mb</t>
  </si>
  <si>
    <t>m2</t>
  </si>
  <si>
    <t>II</t>
  </si>
  <si>
    <t>ROBOTY ZIEMNE</t>
  </si>
  <si>
    <t>m3</t>
  </si>
  <si>
    <t>III</t>
  </si>
  <si>
    <t>PODBUDOWY</t>
  </si>
  <si>
    <t>D.04.01.01.</t>
  </si>
  <si>
    <t>szt.</t>
  </si>
  <si>
    <t>V</t>
  </si>
  <si>
    <t>NAWIERZCHNIE</t>
  </si>
  <si>
    <t>VI</t>
  </si>
  <si>
    <t>ELEMENTY ULIC</t>
  </si>
  <si>
    <t>D.08.01.01.</t>
  </si>
  <si>
    <t>ROBOTY WYKOŃCZENIOWE</t>
  </si>
  <si>
    <t>D.06.01.01.</t>
  </si>
  <si>
    <t>D.01.02.01.</t>
  </si>
  <si>
    <t>D.06.03.01.</t>
  </si>
  <si>
    <t>ODWODNIENIE</t>
  </si>
  <si>
    <t>D.01.02.02.</t>
  </si>
  <si>
    <t>D.02.03.01.</t>
  </si>
  <si>
    <t>IV</t>
  </si>
  <si>
    <t>D.04.04.02</t>
  </si>
  <si>
    <t>D.05.03.23a.</t>
  </si>
  <si>
    <t>D.08.03.01.</t>
  </si>
  <si>
    <t>D.01.02.04.</t>
  </si>
  <si>
    <t>D.04.06.01b</t>
  </si>
  <si>
    <t>km</t>
  </si>
  <si>
    <t>D.03.02.01.</t>
  </si>
  <si>
    <t>Wykopy oraz przekopy wykonywane na odkład koparkami
podsiębiernymi o pojemności łyżki 0,25 m3, głębokość wykopu do
3,00m. Grunt kategorii III-IV</t>
  </si>
  <si>
    <t>kpl.</t>
  </si>
  <si>
    <t>Zasypanie wykopów fundamentowych podłużnych, punktowych, obiektowych, rowów. Zagęszczanie warstwami grub.25 cm. Grunt kat.III-IV</t>
  </si>
  <si>
    <t>Podłoża z materiałów sypkich o grubości 25 cm pod kanały i obiekty</t>
  </si>
  <si>
    <t>D.03.02.01a.</t>
  </si>
  <si>
    <t>D.05.03.13.</t>
  </si>
  <si>
    <t>D.05.03.01.</t>
  </si>
  <si>
    <t>D.05.03.05b.</t>
  </si>
  <si>
    <t>D.08.01.02.</t>
  </si>
  <si>
    <t>Regulacja pionowa zaworów wodociągowych zlokalizowanych w
chodniku</t>
  </si>
  <si>
    <t>Regulacja pionowa zaworów wodociągowych zlokalizowanych w
jezdni</t>
  </si>
  <si>
    <t>Regulacja pionowa zaworów sieci gazowej zlokalizowanych w
chodniku</t>
  </si>
  <si>
    <t>Regulacja pionowa zaworów sieci gazowej  zlokalizowanych w
jezdni</t>
  </si>
  <si>
    <t>Dąbrowskiego</t>
  </si>
  <si>
    <t>Odcinek pozamiejski</t>
  </si>
  <si>
    <t>Rondo</t>
  </si>
  <si>
    <t>Przejazd Kolejowy</t>
  </si>
  <si>
    <t>Rycerska skrzyżowanie Kresowa</t>
  </si>
  <si>
    <t>Roboty pomiarowe przy liniowych  rob. ziemnych w terenie płaskim</t>
  </si>
  <si>
    <t>Mechaniczne karczowanie krzaków i podszycia średnich od 31-60% powierzchni</t>
  </si>
  <si>
    <t xml:space="preserve">Rozebranie nawierzchni z kostki kamiennej 15x17cm wraz ze składowaniem materiału do późniejszego wbudowania                          </t>
  </si>
  <si>
    <r>
      <t xml:space="preserve">Rozbiórka krawężników kamiennych 10x30cm(15x30cm) wraz ze składowaniem materiału do późniejszego wbudowania                                                   </t>
    </r>
  </si>
  <si>
    <t xml:space="preserve">Plantowanie i uzupełnianie humusem  terenów zielonych. Materiał z dowozu. </t>
  </si>
  <si>
    <t>D.05.03.26.</t>
  </si>
  <si>
    <r>
      <t xml:space="preserve">Ułożenie siatki syntetycznej szer. 1.5m na połączeniu konstrukcji                                            + 5% na zakłady                      
</t>
    </r>
  </si>
  <si>
    <r>
      <t xml:space="preserve">Warstwa podbudowy z kruszywa naturalnego łamanego stabilizo-wanego mechanicznie grubości warstwy po zagęszczeniu 20 cm pod nawierzchnię bitumi. jezdni drogi głównej w miejscach poszerzenia oraz przebudowy skrzyżowań                                                                          </t>
    </r>
  </si>
  <si>
    <t>Profilowanie i zagęszczenie podłoża  pod wartwy konstrukcyjne nawierzchni</t>
  </si>
  <si>
    <t>Regulacja pionowa wpustów deszczowych zlokalizowanych w jezdni  wraz z montażem syfonu.</t>
  </si>
  <si>
    <t>Studzienki kanalizacyjne systemowe z tworzywa TEGRA 600 przykanalikiem długości śred. 1.0m, wpustem ulicznym D400 i osadnikiem H=0.90 m oraz syfonem. Zamknięcie rurą teleskopową z wpustem ulicznym, kineta stud. z PP</t>
  </si>
  <si>
    <t>OZNAKOWANIE</t>
  </si>
  <si>
    <t>D.07.01.01.</t>
  </si>
  <si>
    <t>D.07.02.01.</t>
  </si>
  <si>
    <t>Oznakowanie pionowe - tarcze znaków</t>
  </si>
  <si>
    <t>Oznakowanie pionowe - słupki</t>
  </si>
  <si>
    <t>D.07.02.02.</t>
  </si>
  <si>
    <t>D.07.06.02.</t>
  </si>
  <si>
    <t>Urządzenia zabezpieczające ruch pieszy i rowerowy - ogrodzenie łańcuchowe U-12b</t>
  </si>
  <si>
    <t>VIII</t>
  </si>
  <si>
    <t>Oznakowanie pionowe - demontaż tarcze</t>
  </si>
  <si>
    <t>Oznakowanie pionowe - ponowny montaż tarcze</t>
  </si>
  <si>
    <t>Oznakowanie pionowe - ponowny montaż słupki</t>
  </si>
  <si>
    <t>Słupki prowadzące, hektometrowe</t>
  </si>
  <si>
    <t>Dodatkowe oznaczenie powierzchni przejazdu dla rowerów barwą czerwoną</t>
  </si>
  <si>
    <t>Oznakowanie pionowe - demontaż słupki</t>
  </si>
  <si>
    <t>t</t>
  </si>
  <si>
    <t>IX</t>
  </si>
  <si>
    <t>USUNIĘCIE KOLIZJI TELEKOMUNIKACYJNYCH</t>
  </si>
  <si>
    <t>Współczynnik wykonania                           [ 0=nie lub 1=tak ]</t>
  </si>
  <si>
    <t xml:space="preserve">Usuniecie  wartstwy ziemi urodzajnej (humusu) o grub. warstwy średnio 15 cm ze składowaniem nadmiaru na składowisku Wykonawcy lub miejscu wskazanym przez Inwestora (do 10km)                                                                       </t>
  </si>
  <si>
    <t xml:space="preserve">Rozebranie nawierzchni bitumicznej zjazdów i poboczy utwardzonych śred. grub. 5 cm wraz z wywiezieniem materiału z rozbiórki na odl.10km </t>
  </si>
  <si>
    <t>Podbudowa zasadnicza z betonu cementowego B-20 grubości 30 cm pod nawierzchnię zatoki autobusowej</t>
  </si>
  <si>
    <t>ST-08               (ORANGE)</t>
  </si>
  <si>
    <t>ST-08               (NETIA)</t>
  </si>
  <si>
    <t>Pomiary reflektometryczne linii światłowodowych  końcowe z przełącznicy /odc. regenerat. / 1 zmierzch. światłow.</t>
  </si>
  <si>
    <t>odc.</t>
  </si>
  <si>
    <t>Pomiary reflektometryczne linii światłowodowych  końcowe z przełącznicy /odc. regenerat. / każdy następny zmierzch. światłow.</t>
  </si>
  <si>
    <r>
      <t xml:space="preserve">Nawierzchnia ciągu pieszo-rowerowego z kostki betonowej wzór "starobruk" grub. 8 cm, czerwona;na podsypce z miału kamiennego 0/5mm grub. 3cm.                                        
</t>
    </r>
  </si>
  <si>
    <r>
      <t xml:space="preserve">Nawierzchnia chodników z kostki betonowej wzór "starobruk"                  grub. 8 cm, szara; na podsypce z miału kamiennego 0/5mm grub. 3cm                                         
</t>
    </r>
  </si>
  <si>
    <r>
      <t xml:space="preserve">Nawierzchnia zjazdów i zatok postojowych z kostki betonowej wzór "starobruk" grub. 8 cm, grafit; na podsypce z miału kamiennego 0/5mm grub. 3cm.                     
</t>
    </r>
  </si>
  <si>
    <t xml:space="preserve">Rozebranie podbudowy z kruszywa łamanego jezdni drogi głównej śred. grub. 15 cm (jezdnia drogi głównej + wcięcia na początku i końcu odcinka + przyległe skrzyżowania+odcinek pozamiejski + poszerzenia) wraz  ze składowaniem materiału do późniejszego wbudowania    </t>
  </si>
  <si>
    <t>Rozebranie  podbudowy z kruszywa łamanego zjazdów i poboczy utwardzonych śred. grub. 10 cm wraz  ze składowaniem materiału do późniejszego wbudowania</t>
  </si>
  <si>
    <t xml:space="preserve">Rozebranie nawierzchni z płyt chodnikowych 35x35cm (chodnik podjazdy) wraz  z przekruszeniem na przekrusz betonowy frakcji ok. 0/31mm i  składowaniem materiału do późniejszego wbudowania    </t>
  </si>
  <si>
    <t xml:space="preserve">Rozebranie nawierzchni z betonowej kostki brukowej (chodnik podjazdy, ciąg pieszo-rowerowy)  wraz  z przekruszeniem na przekrusz betonowy frakcji ok. 0/31mm i  składowaniem materiału do późniejszego wbudowania                                                                                   </t>
  </si>
  <si>
    <t xml:space="preserve">Rozebranie nawierzchni z betonowej kostki "trylinki" (zjazdy na posesje)  wraz  z przekruszeniem na przekrusz betonowy frakcji ok. 0/31mm i  składowaniem materiału do późniejszego wbudowania                         </t>
  </si>
  <si>
    <t xml:space="preserve">Rozebranie nawierzchni betonowej (wejścia, zjazdy na posesje)  wraz  z przekruszeniem na przekrusz betonowy frakcji ok. 0/31mm i  składowaniem materiału do późniejszego wbudowania    </t>
  </si>
  <si>
    <t xml:space="preserve">Rozebranie nawierzchni z betonowych płyt ażurowych (zjazdy na posesje)  wraz  z przekruszeniem na przekrusz betonowy frakcji ok. 0/31mm i  składowaniem materiału do późniejszego wbudowania                           </t>
  </si>
  <si>
    <t>Rozbiórka krawężników betonowych 10x30cm   wraz  z przekruszeniem na przekrusz betonowy frakcji ok. 0/31mm i  składowaniem materiału do późniejszego wbudowania</t>
  </si>
  <si>
    <t xml:space="preserve">Rozbiórka obrzeży betonowych 6x25cm   wraz  z przekruszeniem na przekrusz betonowy frakcji ok. 0/31mm i  składowaniem materiału do późniejszego wbudowania  </t>
  </si>
  <si>
    <r>
      <t xml:space="preserve">Warstwa podbudowy z przekruszu betonowego frakcji ok. 0/31mm stabilizowanego mechanicznie grubości warstwy po zagęszczeniu 10 cm pod nawierzchnię z betonu asfaltowego AC11S ciągu pieszo-rowerowego,                                                                         </t>
    </r>
  </si>
  <si>
    <r>
      <t xml:space="preserve">Wyrównanie istniejącej podbudowy z kruszywa naturalnego łamanego stabilizowanego mechanicznie średniej grubości warstwy po zagęszczeniu ok. 10 cm pod nawierzchnię jezdni z kostki granitowej 15/17 w obrębie ulicy Dąbrowskiego                                                                                                                                                </t>
    </r>
  </si>
  <si>
    <r>
      <t xml:space="preserve">Warstwa podbudowy zasadniczej z przekruszu betonowego frakcji ok. 0/31mm stabilizowanego mechanicznie  grubości warstwy po zagęszczeniu 20cm pod nawierzchnię z kostki betonowej wzór "starobruk" grub. 8 cm, grafit - zjazdy i zatoki postojowe w obrębie ulicy Dąbrowskiego                                                                                                          </t>
    </r>
  </si>
  <si>
    <t>Wykonanie koryta pod warstwy konstrukcyjne jezdni zjazdów i zatok postojowych na średnią głębębokość 25cm, w gruntach kat.II-IV z odwozem gruntu na składowisko Wyknawcy</t>
  </si>
  <si>
    <t>Żymierskiego, Sikorskiego</t>
  </si>
  <si>
    <t>Rycerska</t>
  </si>
  <si>
    <t>0+647,45 - 0+723,30 wraz z wlotami ulic: Kresowa, Królewska</t>
  </si>
  <si>
    <r>
      <t xml:space="preserve">Nawierzchnia jezdni z kostki granitowej 15/17; na podsypce cementowo piaskowej  grub. 5cm. (materiał z rozbiórki, po uprzednim oczyszczeniu)                      
</t>
    </r>
  </si>
  <si>
    <t>Przebudowa ciągu komunikacyjnego centralnej strefy miasta Gubina:                                                                                                                ulic Dąbrowskiego, Rycerskiej, Platanowa (Żymierskiego) i Sikorskiego w Gubinie                                                                                               wraz ze skrzyżowaniem ulic 3 – go Maja, Kresowej, Grunwaldzkiej, Królewskiej i Rycerskiej</t>
  </si>
  <si>
    <t>Ustawienie krawężników kamiennych o wymiarach 26x17cm na  ławie betonowej z oporem z betonu 15MPa, (krawężnik z rozbiórki  wg poz. 17)</t>
  </si>
  <si>
    <t>Jedn.</t>
  </si>
  <si>
    <t>Oznakowanie poziome cienkowarstwowe - oznakowanie uzupełniające(poprzeczne, strzałki, pola wyłączeniea z ruchu)</t>
  </si>
  <si>
    <t>Oznakowanie poziome cienkowarstwowe - oznakowanie uzupełniające</t>
  </si>
  <si>
    <t>Oznakowanie poziome grubowarstwowe - linie segregacyjne</t>
  </si>
  <si>
    <t>Oznakowanie poziome grubowarstwowe - linie krawędziowe</t>
  </si>
  <si>
    <t>Oznakowanie poziome grubowarstwowe - oznakowanie uzupełniające(poprzeczne, strzałki, pola wyłączeniea z ruchu)</t>
  </si>
  <si>
    <t>Oznakowanie poziome cienkowarstwowe - linie segregacyjne</t>
  </si>
  <si>
    <r>
      <t>Humusowanie poboczy z obsianiem mieszanką traw niskich przy grubości warstwy humusu 10cm; materiał z dowozu</t>
    </r>
  </si>
  <si>
    <t>0+723,30 do 1+102,10</t>
  </si>
  <si>
    <r>
      <t xml:space="preserve">Ustawienie betonowych obrzeży chodnikowych o wymiarach  6x25 cm na podsypce cementowo piaskowej </t>
    </r>
  </si>
  <si>
    <t xml:space="preserve">Rozebranie nawierzchni z kostki kamiennej 10x10cm wraz z przewiezieniem materiału z rozbiórki na składowisko Zamawiającego  do 4.0km                             </t>
  </si>
  <si>
    <t xml:space="preserve">Rozebranie nawierzchni z kostki kamiennej 6x6cm wraz z przewiezieniem materiału z rozbiórki na składowisko Zamawiającego  do 4.0km                             </t>
  </si>
  <si>
    <t>Rozebranie nawierzchni z kostki kamiennej nieregularnej wraz z wywiezieniem na składowisko Zamawiającego  do 4km.</t>
  </si>
  <si>
    <t xml:space="preserve">Rozbiórka krawężników kamiennych 17x26cm wraz ze składowaniem materiału do późniejszego wbudowania ok. 50%, pozostały materiał przewieść na składowisko Zamawiającego do 4.0km                                                  </t>
  </si>
  <si>
    <t>Rozebranie nawierzchni bitumicznej jezdni drogi głównej śred. grub. 10cm (jezdnia drogi głównej + przyległe skrzyżowania + zatoki autobusowe + odcinek pozamiejski + poszerzenia) wraz z wywiezieniem i utylizacją destruktu na składowisku Wykonawcy. W przypadku dokonywania rozbiórki poprzez frezowanie, destrukt bitumiczny odwieźć na składowisko Zamawiającego do 5km</t>
  </si>
  <si>
    <t>PRZEDMIAR ROBÓT</t>
  </si>
  <si>
    <t>Warstwa ścieralna ciągu pieszo-rowerowego z AC11S, grubość warstwy po zagęszczeniu 4 cm z oczyszczenim i skropienim podłoża w ilości 0,3kg/1m2</t>
  </si>
  <si>
    <t>Warstwa ścieralna zjazdów bitumicznych z AC11S, grubość warstwy po zagęszczeniu 4 cm z oczyszczenim i skropieniem podłoża w ilości  0,3kg/1m2</t>
  </si>
  <si>
    <r>
      <t xml:space="preserve">Warstwa ścieralna jezdni drogi głównej z AC11S , grubość warstwy po zagęszczeniu 4 cm z oczyszczeniem i skropieniem podłoża w ilości  0,3kg/1m2              
</t>
    </r>
  </si>
  <si>
    <t>Warstwa wyrównująco-profilująca z  mieszanek typu  AC16W/AC11W  z oczyszczenim i skropieniem podłoża w ilości 0,5kg/1m2</t>
  </si>
  <si>
    <r>
      <t xml:space="preserve">Warstwa wiążąca na poszerzeniach jezdni z AC16W grubość warstwy po zagęszczeniu 8 cm, z oczyszczenim i skropieniem podłoża w ilości 0,5kg/1m2          
</t>
    </r>
  </si>
  <si>
    <t>Ustawienie krawężników betonowych "najazdowych" o wymiarach  15x22 cm na podsypce cementowo piaskowej i ławie betonowej z oporem z betonu 15MPa</t>
  </si>
  <si>
    <t>Ustawienie krawężników betonowych drogowych o wymiarach  15x30 cm na podsypce cementowo piaskowej i ławie betonowej z oporem z betonu 15MPa</t>
  </si>
  <si>
    <t>Wywiezienie gruzu z terenu rozbiórki przy mechanicznym załadunku i wyładunku na składowisko Wykonawcy.</t>
  </si>
  <si>
    <t>Umocnienie pełne ścian wykopów z rozbiórką palami szalunkowymi stal.w gruntach suchych.Dodatek za każdy rozpoczęty 1 m szer.wykopu o głęb.3 m. Grunt kat.I-IV</t>
  </si>
  <si>
    <t>Regulacja pionowa studni telekomunikacyjnych zlokalizowanych w chodniku</t>
  </si>
  <si>
    <t>Cena jedn. (brutto)</t>
  </si>
  <si>
    <t>Wartość (brutto)</t>
  </si>
  <si>
    <t>Mechaniczne ścinanie grupy drzew/krzewów o średnicy 2-35cm wraz z karczowaniem pni oraz wywiezieniem dłużyc i drągowiny &gt;8cm na skład. Zamawiajacego do 5 km;  karpinę oraz gałęzie &lt;8cm  zutylizować na składowisku oraz na koszt Wykonawcy.</t>
  </si>
  <si>
    <t>Mechaniczne ścinanie drzew o średnicy 10-25 cm wraz z karczowaniem pni oraz wywiezieniem dłużyc, drągowiny &gt;8cm na składowisko Zamawiajacego do 5 km;  karpinę oraz gałęzie &lt;8cm  zutylizować na składowisku oraz na koszt Wykonawcy.</t>
  </si>
  <si>
    <t>Mechaniczne ścinanie drzew o średnicy 26-35 cm wraz z karczowaniem pni oraz wywiezieniem dłużyc, drągowiny &gt;8cm na składowisko Zamawiajacego do 5 km;  karpinę oraz gałęzie &lt;8cm  zutylizować na składowisku oraz na koszt Wykonawcy.</t>
  </si>
  <si>
    <t>Mechaniczne ścinanie drzew o średnicy 36-45 cm wraz z karczowaniem pni oraz wywiezieniem dłużyc, drągowiny &gt; 8cm na składowisko Zamawiajacego do 5 km;  karpinę oraz gałęzie &lt;8cm  zutylizować na składowisku oraz na koszt Wykonawcy.</t>
  </si>
  <si>
    <t>Mechaniczne ścinanie drzew o średnicy 46-55 cm wraz z karczowaniem pni oraz wywiezieniem dłużyc, drągowiny &gt; 8cm na składowisko Zamawiajacego do 5 km;  karpinę oraz gałęzie &lt;8cm  zutylizować na składowisku oraz na koszt Wykonawcy.</t>
  </si>
  <si>
    <t>Mechaniczne ścinanie drzew o średnicy 66-75 cm wraz z karczowaniem pni oraz wywiezieniem dłużyc,drągowiny &gt;8cm na składowisko Zamawiajacego do 5 km;  karpinę oraz gałęzie &lt;8cm  zutylizować na składowisku oraz na koszt Wykonawcy.</t>
  </si>
  <si>
    <t>Mechaniczne ścinanie drzew o średnicy 76-85 cm wraz z karczowaniem pni oraz wywiezieniem dłużyc, drągowiny &gt;8cm na składowisko Zamawiajacego do 5 km;  karpinę oraz gałęzie &lt;8cm  zutylizować na składowisku oraz na koszt Wykonawcy.</t>
  </si>
  <si>
    <t>Wykonanie nasypów z piasku (najlepiej średnioziarnistego, materiał pozyskać z kopalni) – warstwa uzupełniająca pod ciągami pieszymi oraz terenami zielonymi śred. Miąższości w-wy 10cm – ciąg ulic Rycerskiej, Żymierskiego, Sikorskiego oraz profilowanie poboczy na odcinku pozamiejskim</t>
  </si>
  <si>
    <t>Mechaniczne ścinanie drzew o średnicy 86-95 cm wraz z karczowaniem pni oraz wywiezieniem dłużyc, drągowiny &gt;8cm na składowisko Zamawiajacego do 5 km;  karpinę oraz gałęzie &lt;8cm  zutylizować na składowisku oraz na koszt Wykonawcy.</t>
  </si>
  <si>
    <t>Mechaniczne ścinanie drzew o średnicy 106-115 cm wraz z karczowaniem pni oraz wywiezieniem dłużyc, drągowiny &gt;8cm na składowisko Zamawiajacego do 5 km;  karpinę oraz gałęzie &lt;8cm  zutylizować na składowisku oraz na koszt Wykonawcy.</t>
  </si>
  <si>
    <t xml:space="preserve">Demontaż studzienek ściekowych ulicznych betonowych o średnicy
500 mm z osadnikiem i syfonem.                                                                  </t>
  </si>
  <si>
    <t>Wywiezienie gruzu z terenu rozbiórki przy mechanicznym załadunku i
wyładunku na składowisko Wykonawcy.</t>
  </si>
  <si>
    <t>Umocnienie pełne ścian wykopów z rozbiórką palami szalunkowymi
stal.w gruntach suchych.Dodatek za każdy rozpoczęty 1 m
szer.wykopu o głęb.3 m. Grunt kat.I-IV</t>
  </si>
  <si>
    <t>Nakłady materiałów na 1,0 m (rura) przyłącza wodociągowego z rur
PVC łączonych na wcisk i uszczelkę gumową.Rurociąg o średnicy
zewnętrznej 200mm</t>
  </si>
  <si>
    <t>Regulacja pionowa włazów studni rewizyjnych zlokalizowanych w
chodniku</t>
  </si>
  <si>
    <t>Regulacja pionowa włazów studni rewizyjnych zlokalizowanych w
jezdni</t>
  </si>
  <si>
    <t>Regulacja pionowa studni telekomunikacyjnych zlokalizowanych w
chodniku</t>
  </si>
  <si>
    <r>
      <t xml:space="preserve">Nawierzchnia jezdni zatok autobusowych z kostki granitowej 15/17; na podsypce cementowo piaskowej grub. 5cm. (materiał z rozbiórki) :                      
</t>
    </r>
  </si>
  <si>
    <r>
      <t xml:space="preserve">Nawierzchnia zatok postojowych z kostki betonowej typu "behaton" grub. 8 cm kolor: grafit; na podsypce z miału kamiennego 0/5mm                      grub. 3cm.                     
</t>
    </r>
  </si>
  <si>
    <r>
      <t xml:space="preserve">Nawierzchnia chodnika z kostki betonowej typu "holland" grub. 8 cm kolor: żółta; na podsypce z miału kamiennego 0/5mm grub. 3cm.                                        
</t>
    </r>
  </si>
  <si>
    <r>
      <t>Nawierzchnia zjazdów z kostki betonowej typu "holland" grub. 8 cm kolor: grafit; na podsypce z miału kamiennego 0/5mm grub. 3cm.</t>
    </r>
  </si>
  <si>
    <r>
      <t xml:space="preserve">Nawierzchnia ciągu pieszo-rowerowego z kostki betonowej typu "holland" grub. 8 cm kolor: grafit, "bezfazowej";  na podsypce z miału kamiennego 0/5mm grub. 3cm.                      
</t>
    </r>
  </si>
  <si>
    <t>Osłoniecie za pomocą dwudzielnych rur osłonowych śr. 58mm - istn. kabla światłwodowego śr. do 50mm (wg poz. 95)</t>
  </si>
  <si>
    <t>Podwyższenie o ok. 20cm włazu studni 500x1000</t>
  </si>
  <si>
    <t>Przekładanie kabla doziemnego o śred. do 50mm w rowie kablowym grunt kat.I -III, (wykopanie nowej trasy kabla, odkopanie kabla światłowodowego,  przełożnie kabla, zasypanie kabla z ułożeniem taśmy sygnalizacyjnej)</t>
  </si>
  <si>
    <t>Nasypanie warstwy piasku na dnie rowu kablowego o szerokości              do 0.4m</t>
  </si>
  <si>
    <t>Osłoniecie za pomocą dwudzielnych rur osłonowych śr. 120mm - istn.  kanalizacji/kabli  (odkopanie kanalizacj/kabli, osłonięcie rurami dwudzielnymi, zasypanie kabla z ułożeniem taśmy sygnalizacyjnej)</t>
  </si>
  <si>
    <t>Przekładanie kanalizacji/kabla doziemnego o śred. do 50mm w rowie kablowym grunt kat.I -III, (wykopanie nowej trasy sieci, odkopanie istn. kanalizacji/kabli,  przełożnie sieci, zasypanie kabla/kanalizacji z ułożeniem taśmy sygnalizacyjnej)</t>
  </si>
  <si>
    <r>
      <t xml:space="preserve">Podwyższenie o ok. 20cm włazu studni 500x1000                                                                 </t>
    </r>
  </si>
  <si>
    <t>SUMA  BRUTTO</t>
  </si>
  <si>
    <t>PODATEK VAT 23%</t>
  </si>
  <si>
    <t>SUMA NETTO</t>
  </si>
  <si>
    <t>ETAP 1</t>
  </si>
  <si>
    <t>ETAP 2</t>
  </si>
  <si>
    <r>
      <t xml:space="preserve">KOSZTORYS  INWESTORSKI   Etap 1 (2018r) </t>
    </r>
    <r>
      <rPr>
        <b/>
        <sz val="20"/>
        <color indexed="9"/>
        <rFont val="Calibri"/>
        <family val="2"/>
      </rPr>
      <t xml:space="preserve">
 od km 1+102,10  do km 3+410,42</t>
    </r>
  </si>
  <si>
    <r>
      <t xml:space="preserve">Wykonanie nasypów z piasku  (najlepiej średnioziarnistego, materiał pozyskać z kopalni) - warstwa uzupełniająca pod ciągami pieszymi oraz terenami zielonymi śred. miąższości w-wy 10cm - ciąg ulic Rycerskiej, Żymierskiego, Sikorskiego oraz profilowanie poboczy na odcinku poza miejskim                                                                                     </t>
    </r>
    <r>
      <rPr>
        <b/>
        <sz val="11"/>
        <color indexed="9"/>
        <rFont val="Calibri"/>
        <family val="2"/>
      </rPr>
      <t xml:space="preserve">                                                                           </t>
    </r>
  </si>
  <si>
    <r>
      <t xml:space="preserve">Wykonanie koryta pod warstwy konstrukcyjne jezdni drogi głównej w miejscach poszerzenia, przebudowy skrzyżowań i zjadów publicznych na średnią głębębokość 35cm, w gruntach kat.II-IV z odwozem gruntu na składowisko Wyknawcy: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9"/>
        <rFont val="Calibri"/>
        <family val="2"/>
      </rPr>
      <t xml:space="preserve">                                                                    </t>
    </r>
  </si>
  <si>
    <r>
      <t>Warstwa podbudowy z przekruszu betonowego frakcji ok. 0/31mm stabilizowanego mechanicznie grubości warstwy po zagęszczeniu 20 cm pod nawierzchnię zjazdów oraz zatok postojowych</t>
    </r>
    <r>
      <rPr>
        <b/>
        <sz val="11"/>
        <color indexed="9"/>
        <rFont val="Calibri"/>
        <family val="2"/>
      </rPr>
      <t xml:space="preserve"> </t>
    </r>
  </si>
  <si>
    <r>
      <t xml:space="preserve">Ustawienie krawężników kamiennych o wymiarach 10x30cm (15x30cm) na podsypce cemento.-piask. i ławie betonowej z oporem z betonu 15MPa, (krawężnik z rozbiórki  wg poz. 17)                                                                                                                                 </t>
    </r>
    <r>
      <rPr>
        <b/>
        <sz val="11"/>
        <color indexed="9"/>
        <rFont val="Calibri"/>
        <family val="2"/>
      </rPr>
      <t xml:space="preserve">           </t>
    </r>
  </si>
  <si>
    <r>
      <t>KOSZTORYS  INWESTORSKI   Etap 2 (2019r)</t>
    </r>
    <r>
      <rPr>
        <b/>
        <sz val="20"/>
        <color indexed="9"/>
        <rFont val="Calibri"/>
        <family val="2"/>
      </rPr>
      <t xml:space="preserve">
 od km 0+000,00 do 1+102,10  oraz  od km 3+480,57 do km 5+233,91</t>
    </r>
  </si>
  <si>
    <t>Roboty pomiarowe przy liniowych rob. ziemnych w terenie płaskim</t>
  </si>
  <si>
    <t>Usuniecie wartstwy ziemi urodzajnej (humusu) o grub. warstwy średnio  15 cm ze składowaniem nadmiaru na składowisku Wykonawcy lub miejscu wskazanym przez Inwestora (do 10km)</t>
  </si>
  <si>
    <t>Rozebranie nawierzchni z płyt chodnikowych 35x35cm (chodnik podjazdy) wraz z przekruszeniem na przekrusz betonowy frakcji ok. 0/31mm i składowaniem materiału do późniejszego wbudowania</t>
  </si>
  <si>
    <t>Rozebranie nawierzchni z betonowej kostki brukowej (chodnik podjazdy, ciąg pieszo-rowerowy) wraz z przekruszeniem na przekrusz betonowy frakcji ok. 0/31mm i składowaniem materiału do późniejszego wbudowania</t>
  </si>
  <si>
    <t>Wykonanie koryta pod warstwy konstrukcyjne jezdni drogi głównej w miejscach poszerzenia, przebudowy skrzyżowań i zjadów publicznych na średnią głębębokość 35cm, w gruntach kat.II-IV z odwozem gruntu na składowisko Wykonawcy:</t>
  </si>
  <si>
    <t xml:space="preserve">Nawierzchnia jezdni zatok autobusowych z kostki granitowej 15/17; na podsypce cementowo piaskowej grub. 5cm. (materiał z rozbiórki) </t>
  </si>
  <si>
    <t>Warstwa wyrównująco-profilująca z mieszanek typu AC16W/AC11W z oczyszczeniem i skropieniem</t>
  </si>
  <si>
    <t>Nawierzchnia zatok postojowych z kostki betonowej typu „behaton” grub. 8 cm kolor: grafit; na podsypce z miału kamiennego 0/5mm grub. 3cm.</t>
  </si>
  <si>
    <t>Nawierzchnia chodnika z kostki betonowej typu „_olland” grub. 8 cm kolor: żółta; na podsypce z miału kamiennego 0/5mm grub. 3cm.</t>
  </si>
  <si>
    <t>Ułożenie siatki syntetycznej szer. 1.5m na połączeniu konstrukcji + 5% na zakłady</t>
  </si>
  <si>
    <t>Oznakowanie poziome grubowarstwowe – oznakowanie uzupełniające(poprzeczne, strzałki, pola wyłączeniea z ruchu)</t>
  </si>
  <si>
    <t>Przekładanie kabla doziemnego o śred. Do 50mm w rowiekablowym grunt kat.III – pierwszy</t>
  </si>
  <si>
    <t>Nasypanie warstwy piasku na dnie rowu kablowego o szerokości do 0.4m</t>
  </si>
  <si>
    <t>Pomiary reflektometryczne linii światłowodowych końcowe z przełącznicy /odc. Regenerat. / 1 zmierzch. Światłow.</t>
  </si>
  <si>
    <t>Pomiary reflektometryczne linii światłowodowych końcowe z przełącznicy /odc. Regenerat. / każdy następny zmierzch. Światłow.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</si>
</sst>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Czcionka tekstu podstawowego"/>
      <family val="0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3"/>
      <color indexed="8"/>
      <name val="Calibri"/>
      <family val="2"/>
    </font>
    <font>
      <b/>
      <sz val="24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14"/>
      <color indexed="9"/>
      <name val="Czcionka tekstu podstawowego"/>
      <family val="0"/>
    </font>
    <font>
      <sz val="11"/>
      <color indexed="9"/>
      <name val="Czcionka tekstu podstawowego"/>
      <family val="2"/>
    </font>
    <font>
      <sz val="18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Times New Roman"/>
      <family val="1"/>
    </font>
    <font>
      <b/>
      <sz val="11"/>
      <color indexed="9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4" fontId="14" fillId="33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5" fillId="34" borderId="18" xfId="0" applyFont="1" applyFill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4" fontId="17" fillId="0" borderId="10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4" borderId="0" xfId="0" applyFont="1" applyFill="1" applyAlignment="1" applyProtection="1">
      <alignment vertical="center"/>
      <protection/>
    </xf>
    <xf numFmtId="0" fontId="15" fillId="34" borderId="20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4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44" fontId="17" fillId="0" borderId="23" xfId="58" applyFont="1" applyFill="1" applyBorder="1" applyAlignment="1" applyProtection="1">
      <alignment horizontal="center" vertical="center" wrapText="1"/>
      <protection/>
    </xf>
    <xf numFmtId="164" fontId="17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35" borderId="0" xfId="0" applyFont="1" applyFill="1" applyAlignment="1" applyProtection="1">
      <alignment vertical="center"/>
      <protection/>
    </xf>
    <xf numFmtId="4" fontId="15" fillId="35" borderId="22" xfId="0" applyNumberFormat="1" applyFont="1" applyFill="1" applyBorder="1" applyAlignment="1" applyProtection="1">
      <alignment horizontal="center" vertical="center"/>
      <protection/>
    </xf>
    <xf numFmtId="4" fontId="15" fillId="35" borderId="12" xfId="0" applyNumberFormat="1" applyFont="1" applyFill="1" applyBorder="1" applyAlignment="1" applyProtection="1">
      <alignment horizontal="center" vertical="center"/>
      <protection/>
    </xf>
    <xf numFmtId="4" fontId="15" fillId="35" borderId="25" xfId="0" applyNumberFormat="1" applyFont="1" applyFill="1" applyBorder="1" applyAlignment="1" applyProtection="1">
      <alignment horizontal="center" vertical="center"/>
      <protection/>
    </xf>
    <xf numFmtId="0" fontId="15" fillId="36" borderId="12" xfId="0" applyNumberFormat="1" applyFont="1" applyFill="1" applyBorder="1" applyAlignment="1" applyProtection="1">
      <alignment horizontal="center" vertical="center"/>
      <protection/>
    </xf>
    <xf numFmtId="0" fontId="14" fillId="35" borderId="0" xfId="0" applyFont="1" applyFill="1" applyAlignment="1" applyProtection="1">
      <alignment vertical="center" wrapText="1"/>
      <protection/>
    </xf>
    <xf numFmtId="4" fontId="14" fillId="35" borderId="0" xfId="0" applyNumberFormat="1" applyFont="1" applyFill="1" applyAlignment="1" applyProtection="1">
      <alignment vertical="center"/>
      <protection/>
    </xf>
    <xf numFmtId="0" fontId="14" fillId="34" borderId="0" xfId="0" applyFont="1" applyFill="1" applyAlignment="1" applyProtection="1">
      <alignment horizontal="center" vertical="center" wrapText="1"/>
      <protection/>
    </xf>
    <xf numFmtId="4" fontId="15" fillId="34" borderId="22" xfId="0" applyNumberFormat="1" applyFont="1" applyFill="1" applyBorder="1" applyAlignment="1" applyProtection="1">
      <alignment horizontal="center" vertical="center"/>
      <protection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13" xfId="0" applyNumberFormat="1" applyFont="1" applyFill="1" applyBorder="1" applyAlignment="1" applyProtection="1">
      <alignment horizontal="center" vertical="center"/>
      <protection/>
    </xf>
    <xf numFmtId="4" fontId="14" fillId="34" borderId="0" xfId="0" applyNumberFormat="1" applyFont="1" applyFill="1" applyAlignment="1" applyProtection="1">
      <alignment vertical="center"/>
      <protection/>
    </xf>
    <xf numFmtId="4" fontId="17" fillId="0" borderId="12" xfId="0" applyNumberFormat="1" applyFont="1" applyFill="1" applyBorder="1" applyAlignment="1" applyProtection="1">
      <alignment horizontal="center" vertical="center" wrapText="1"/>
      <protection/>
    </xf>
    <xf numFmtId="44" fontId="17" fillId="0" borderId="12" xfId="58" applyFont="1" applyFill="1" applyBorder="1" applyAlignment="1" applyProtection="1">
      <alignment horizontal="center" vertical="center" wrapText="1"/>
      <protection/>
    </xf>
    <xf numFmtId="164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34" borderId="0" xfId="0" applyFont="1" applyFill="1" applyAlignment="1" applyProtection="1">
      <alignment horizontal="center" vertical="center"/>
      <protection/>
    </xf>
    <xf numFmtId="164" fontId="14" fillId="37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2" fontId="15" fillId="34" borderId="22" xfId="0" applyNumberFormat="1" applyFont="1" applyFill="1" applyBorder="1" applyAlignment="1" applyProtection="1">
      <alignment horizontal="center" vertical="center" wrapText="1"/>
      <protection/>
    </xf>
    <xf numFmtId="2" fontId="15" fillId="34" borderId="12" xfId="0" applyNumberFormat="1" applyFont="1" applyFill="1" applyBorder="1" applyAlignment="1" applyProtection="1">
      <alignment horizontal="center" vertical="center" wrapText="1"/>
      <protection/>
    </xf>
    <xf numFmtId="2" fontId="15" fillId="34" borderId="13" xfId="0" applyNumberFormat="1" applyFont="1" applyFill="1" applyBorder="1" applyAlignment="1" applyProtection="1">
      <alignment horizontal="center" vertical="center" wrapText="1"/>
      <protection/>
    </xf>
    <xf numFmtId="2" fontId="15" fillId="34" borderId="26" xfId="0" applyNumberFormat="1" applyFont="1" applyFill="1" applyBorder="1" applyAlignment="1" applyProtection="1">
      <alignment horizontal="center" vertical="center" wrapText="1"/>
      <protection/>
    </xf>
    <xf numFmtId="2" fontId="15" fillId="34" borderId="25" xfId="0" applyNumberFormat="1" applyFont="1" applyFill="1" applyBorder="1" applyAlignment="1" applyProtection="1">
      <alignment horizontal="center" vertical="center" wrapText="1"/>
      <protection/>
    </xf>
    <xf numFmtId="2" fontId="15" fillId="34" borderId="27" xfId="0" applyNumberFormat="1" applyFont="1" applyFill="1" applyBorder="1" applyAlignment="1" applyProtection="1">
      <alignment horizontal="center" vertical="center" wrapText="1"/>
      <protection/>
    </xf>
    <xf numFmtId="2" fontId="15" fillId="34" borderId="28" xfId="0" applyNumberFormat="1" applyFont="1" applyFill="1" applyBorder="1" applyAlignment="1" applyProtection="1">
      <alignment horizontal="center" vertical="center" wrapText="1"/>
      <protection/>
    </xf>
    <xf numFmtId="2" fontId="14" fillId="34" borderId="0" xfId="0" applyNumberFormat="1" applyFont="1" applyFill="1" applyAlignment="1" applyProtection="1">
      <alignment horizontal="center" vertical="center" wrapText="1"/>
      <protection/>
    </xf>
    <xf numFmtId="4" fontId="15" fillId="34" borderId="22" xfId="0" applyNumberFormat="1" applyFont="1" applyFill="1" applyBorder="1" applyAlignment="1" applyProtection="1">
      <alignment horizontal="center" vertical="center" wrapText="1"/>
      <protection/>
    </xf>
    <xf numFmtId="4" fontId="15" fillId="34" borderId="12" xfId="0" applyNumberFormat="1" applyFont="1" applyFill="1" applyBorder="1" applyAlignment="1" applyProtection="1">
      <alignment horizontal="center" vertical="center" wrapText="1"/>
      <protection/>
    </xf>
    <xf numFmtId="4" fontId="15" fillId="34" borderId="13" xfId="0" applyNumberFormat="1" applyFont="1" applyFill="1" applyBorder="1" applyAlignment="1" applyProtection="1">
      <alignment horizontal="center" vertical="center" wrapText="1"/>
      <protection/>
    </xf>
    <xf numFmtId="164" fontId="14" fillId="34" borderId="0" xfId="0" applyNumberFormat="1" applyFont="1" applyFill="1" applyAlignment="1" applyProtection="1">
      <alignment horizontal="center" vertical="center"/>
      <protection/>
    </xf>
    <xf numFmtId="164" fontId="14" fillId="34" borderId="0" xfId="0" applyNumberFormat="1" applyFont="1" applyFill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horizontal="center" vertical="center"/>
      <protection/>
    </xf>
    <xf numFmtId="4" fontId="14" fillId="37" borderId="0" xfId="0" applyNumberFormat="1" applyFont="1" applyFill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4" fillId="34" borderId="0" xfId="0" applyNumberFormat="1" applyFont="1" applyFill="1" applyAlignment="1" applyProtection="1">
      <alignment horizontal="center" vertical="center" wrapText="1"/>
      <protection/>
    </xf>
    <xf numFmtId="4" fontId="15" fillId="34" borderId="29" xfId="0" applyNumberFormat="1" applyFont="1" applyFill="1" applyBorder="1" applyAlignment="1" applyProtection="1">
      <alignment horizontal="center" vertical="center" wrapText="1"/>
      <protection/>
    </xf>
    <xf numFmtId="4" fontId="15" fillId="34" borderId="30" xfId="0" applyNumberFormat="1" applyFont="1" applyFill="1" applyBorder="1" applyAlignment="1" applyProtection="1">
      <alignment horizontal="center" vertical="center" wrapText="1"/>
      <protection/>
    </xf>
    <xf numFmtId="4" fontId="15" fillId="34" borderId="0" xfId="0" applyNumberFormat="1" applyFont="1" applyFill="1" applyBorder="1" applyAlignment="1" applyProtection="1">
      <alignment horizontal="center" vertical="center" wrapText="1"/>
      <protection/>
    </xf>
    <xf numFmtId="4" fontId="15" fillId="34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64" fontId="14" fillId="34" borderId="0" xfId="0" applyNumberFormat="1" applyFont="1" applyFill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4" fontId="14" fillId="34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vertical="center" wrapText="1"/>
      <protection/>
    </xf>
    <xf numFmtId="4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4" fontId="15" fillId="34" borderId="36" xfId="0" applyNumberFormat="1" applyFont="1" applyFill="1" applyBorder="1" applyAlignment="1" applyProtection="1">
      <alignment horizontal="center" vertical="center" wrapText="1"/>
      <protection/>
    </xf>
    <xf numFmtId="4" fontId="15" fillId="34" borderId="37" xfId="0" applyNumberFormat="1" applyFont="1" applyFill="1" applyBorder="1" applyAlignment="1" applyProtection="1">
      <alignment horizontal="center" vertical="center" wrapText="1"/>
      <protection/>
    </xf>
    <xf numFmtId="4" fontId="15" fillId="0" borderId="38" xfId="0" applyNumberFormat="1" applyFont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4" fontId="15" fillId="34" borderId="40" xfId="0" applyNumberFormat="1" applyFont="1" applyFill="1" applyBorder="1" applyAlignment="1" applyProtection="1">
      <alignment horizontal="center" vertical="center" wrapText="1"/>
      <protection/>
    </xf>
    <xf numFmtId="4" fontId="15" fillId="34" borderId="23" xfId="0" applyNumberFormat="1" applyFont="1" applyFill="1" applyBorder="1" applyAlignment="1" applyProtection="1">
      <alignment horizontal="center" vertical="center" wrapText="1"/>
      <protection/>
    </xf>
    <xf numFmtId="4" fontId="15" fillId="34" borderId="41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4" fontId="17" fillId="0" borderId="33" xfId="0" applyNumberFormat="1" applyFont="1" applyFill="1" applyBorder="1" applyAlignment="1" applyProtection="1">
      <alignment horizontal="center" vertical="center" wrapText="1"/>
      <protection/>
    </xf>
    <xf numFmtId="44" fontId="17" fillId="0" borderId="33" xfId="58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right" vertical="center" wrapText="1"/>
      <protection/>
    </xf>
    <xf numFmtId="4" fontId="15" fillId="34" borderId="32" xfId="0" applyNumberFormat="1" applyFont="1" applyFill="1" applyBorder="1" applyAlignment="1" applyProtection="1">
      <alignment horizontal="center" vertical="center" wrapText="1"/>
      <protection/>
    </xf>
    <xf numFmtId="4" fontId="15" fillId="34" borderId="35" xfId="0" applyNumberFormat="1" applyFont="1" applyFill="1" applyBorder="1" applyAlignment="1" applyProtection="1">
      <alignment horizontal="center" vertical="center" wrapText="1"/>
      <protection/>
    </xf>
    <xf numFmtId="4" fontId="15" fillId="34" borderId="42" xfId="0" applyNumberFormat="1" applyFont="1" applyFill="1" applyBorder="1" applyAlignment="1" applyProtection="1">
      <alignment horizontal="center" vertical="center" wrapText="1"/>
      <protection/>
    </xf>
    <xf numFmtId="164" fontId="9" fillId="0" borderId="43" xfId="0" applyNumberFormat="1" applyFont="1" applyFill="1" applyBorder="1" applyAlignment="1" applyProtection="1">
      <alignment vertical="center"/>
      <protection/>
    </xf>
    <xf numFmtId="164" fontId="9" fillId="0" borderId="44" xfId="0" applyNumberFormat="1" applyFont="1" applyFill="1" applyBorder="1" applyAlignment="1" applyProtection="1">
      <alignment vertical="center"/>
      <protection/>
    </xf>
    <xf numFmtId="164" fontId="9" fillId="0" borderId="45" xfId="0" applyNumberFormat="1" applyFont="1" applyFill="1" applyBorder="1" applyAlignment="1" applyProtection="1">
      <alignment vertical="center"/>
      <protection/>
    </xf>
    <xf numFmtId="164" fontId="14" fillId="0" borderId="0" xfId="58" applyNumberFormat="1" applyFont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7" fillId="0" borderId="46" xfId="0" applyFont="1" applyFill="1" applyBorder="1" applyAlignment="1" applyProtection="1">
      <alignment/>
      <protection/>
    </xf>
    <xf numFmtId="164" fontId="14" fillId="0" borderId="0" xfId="0" applyNumberFormat="1" applyFont="1" applyAlignment="1" applyProtection="1">
      <alignment vertical="center"/>
      <protection/>
    </xf>
    <xf numFmtId="44" fontId="18" fillId="0" borderId="0" xfId="58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44" fontId="17" fillId="0" borderId="0" xfId="58" applyFont="1" applyFill="1" applyAlignment="1" applyProtection="1">
      <alignment/>
      <protection/>
    </xf>
    <xf numFmtId="44" fontId="1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164" fontId="17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47" xfId="0" applyNumberFormat="1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/>
      <protection/>
    </xf>
    <xf numFmtId="0" fontId="21" fillId="0" borderId="47" xfId="0" applyFont="1" applyBorder="1" applyAlignment="1">
      <alignment vertical="top" wrapText="1"/>
    </xf>
    <xf numFmtId="0" fontId="21" fillId="0" borderId="47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left" vertical="top" wrapText="1" indent="1"/>
    </xf>
    <xf numFmtId="0" fontId="21" fillId="0" borderId="4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47" xfId="0" applyFont="1" applyBorder="1" applyAlignment="1">
      <alignment horizontal="justify" vertical="top" wrapText="1"/>
    </xf>
    <xf numFmtId="4" fontId="21" fillId="0" borderId="47" xfId="0" applyNumberFormat="1" applyFont="1" applyBorder="1" applyAlignment="1">
      <alignment horizontal="center" vertical="top" wrapText="1"/>
    </xf>
    <xf numFmtId="0" fontId="22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/>
      <protection/>
    </xf>
    <xf numFmtId="0" fontId="22" fillId="0" borderId="50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5" fillId="0" borderId="38" xfId="0" applyFont="1" applyBorder="1" applyAlignment="1" applyProtection="1">
      <alignment horizontal="center"/>
      <protection/>
    </xf>
    <xf numFmtId="0" fontId="22" fillId="0" borderId="51" xfId="0" applyFont="1" applyFill="1" applyBorder="1" applyAlignment="1" applyProtection="1">
      <alignment horizontal="center"/>
      <protection/>
    </xf>
    <xf numFmtId="0" fontId="22" fillId="0" borderId="5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1" xfId="0" applyBorder="1" applyAlignment="1">
      <alignment horizontal="center"/>
    </xf>
    <xf numFmtId="0" fontId="21" fillId="0" borderId="48" xfId="0" applyFont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1" fillId="0" borderId="48" xfId="0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/>
      <protection/>
    </xf>
    <xf numFmtId="0" fontId="21" fillId="0" borderId="49" xfId="0" applyFont="1" applyFill="1" applyBorder="1" applyAlignment="1" applyProtection="1">
      <alignment/>
      <protection/>
    </xf>
    <xf numFmtId="0" fontId="21" fillId="0" borderId="48" xfId="0" applyFont="1" applyBorder="1" applyAlignment="1">
      <alignment vertical="top" wrapText="1"/>
    </xf>
    <xf numFmtId="0" fontId="21" fillId="0" borderId="52" xfId="0" applyFont="1" applyBorder="1" applyAlignment="1">
      <alignment vertical="top" wrapText="1"/>
    </xf>
    <xf numFmtId="0" fontId="0" fillId="0" borderId="49" xfId="0" applyBorder="1" applyAlignment="1" applyProtection="1">
      <alignment vertical="top" wrapText="1"/>
      <protection/>
    </xf>
    <xf numFmtId="0" fontId="21" fillId="0" borderId="47" xfId="0" applyFont="1" applyBorder="1" applyAlignment="1">
      <alignment vertical="top" wrapText="1"/>
    </xf>
    <xf numFmtId="4" fontId="21" fillId="0" borderId="48" xfId="0" applyNumberFormat="1" applyFont="1" applyBorder="1" applyAlignment="1">
      <alignment horizontal="center" vertical="top" wrapText="1"/>
    </xf>
    <xf numFmtId="0" fontId="21" fillId="0" borderId="48" xfId="0" applyFont="1" applyBorder="1" applyAlignment="1">
      <alignment/>
    </xf>
    <xf numFmtId="0" fontId="0" fillId="0" borderId="49" xfId="0" applyBorder="1" applyAlignment="1">
      <alignment/>
    </xf>
    <xf numFmtId="0" fontId="27" fillId="0" borderId="38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vertical="top" wrapText="1"/>
    </xf>
    <xf numFmtId="0" fontId="1" fillId="0" borderId="49" xfId="0" applyFont="1" applyFill="1" applyBorder="1" applyAlignment="1" applyProtection="1">
      <alignment vertical="top" wrapText="1"/>
      <protection/>
    </xf>
    <xf numFmtId="0" fontId="22" fillId="0" borderId="38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1" fillId="0" borderId="49" xfId="0" applyFont="1" applyBorder="1" applyAlignment="1">
      <alignment vertical="top" wrapText="1"/>
    </xf>
    <xf numFmtId="0" fontId="21" fillId="0" borderId="47" xfId="0" applyFont="1" applyBorder="1" applyAlignment="1">
      <alignment horizontal="justify" vertical="top" wrapText="1"/>
    </xf>
    <xf numFmtId="0" fontId="25" fillId="0" borderId="38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1" fillId="0" borderId="47" xfId="0" applyFont="1" applyBorder="1" applyAlignment="1">
      <alignment horizontal="center" vertical="top" wrapText="1"/>
    </xf>
    <xf numFmtId="4" fontId="21" fillId="0" borderId="47" xfId="0" applyNumberFormat="1" applyFont="1" applyBorder="1" applyAlignment="1">
      <alignment horizontal="center" vertical="top" wrapText="1"/>
    </xf>
    <xf numFmtId="0" fontId="1" fillId="0" borderId="52" xfId="0" applyFont="1" applyFill="1" applyBorder="1" applyAlignment="1" applyProtection="1">
      <alignment vertical="top" wrapText="1"/>
      <protection/>
    </xf>
    <xf numFmtId="0" fontId="0" fillId="0" borderId="52" xfId="0" applyBorder="1" applyAlignment="1">
      <alignment/>
    </xf>
    <xf numFmtId="0" fontId="21" fillId="0" borderId="49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left" vertical="top" wrapText="1" inden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 applyProtection="1">
      <alignment horizontal="center" vertical="center"/>
      <protection/>
    </xf>
    <xf numFmtId="0" fontId="21" fillId="0" borderId="48" xfId="0" applyFont="1" applyBorder="1" applyAlignment="1">
      <alignment horizontal="justify" vertical="top" wrapText="1"/>
    </xf>
    <xf numFmtId="0" fontId="0" fillId="0" borderId="49" xfId="0" applyBorder="1" applyAlignment="1">
      <alignment horizontal="justify" vertical="top"/>
    </xf>
    <xf numFmtId="0" fontId="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 shrinkToFit="1"/>
      <protection/>
    </xf>
    <xf numFmtId="0" fontId="0" fillId="0" borderId="49" xfId="0" applyBorder="1" applyAlignment="1">
      <alignment horizontal="center"/>
    </xf>
    <xf numFmtId="0" fontId="21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 horizontal="center"/>
    </xf>
    <xf numFmtId="0" fontId="0" fillId="0" borderId="49" xfId="0" applyBorder="1" applyAlignment="1" applyProtection="1">
      <alignment horizontal="center" vertical="top" wrapText="1"/>
      <protection/>
    </xf>
    <xf numFmtId="0" fontId="16" fillId="0" borderId="36" xfId="0" applyFont="1" applyFill="1" applyBorder="1" applyAlignment="1" applyProtection="1">
      <alignment horizontal="right" vertical="center"/>
      <protection/>
    </xf>
    <xf numFmtId="0" fontId="16" fillId="0" borderId="30" xfId="0" applyFont="1" applyFill="1" applyBorder="1" applyAlignment="1" applyProtection="1">
      <alignment horizontal="right" vertical="center"/>
      <protection/>
    </xf>
    <xf numFmtId="0" fontId="16" fillId="0" borderId="55" xfId="0" applyFont="1" applyFill="1" applyBorder="1" applyAlignment="1" applyProtection="1">
      <alignment horizontal="right" vertical="center"/>
      <protection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 applyProtection="1">
      <alignment horizontal="center" vertical="center"/>
      <protection/>
    </xf>
    <xf numFmtId="0" fontId="19" fillId="36" borderId="50" xfId="0" applyFont="1" applyFill="1" applyBorder="1" applyAlignment="1" applyProtection="1">
      <alignment horizontal="center" vertical="center"/>
      <protection/>
    </xf>
    <xf numFmtId="0" fontId="19" fillId="36" borderId="38" xfId="0" applyFont="1" applyFill="1" applyBorder="1" applyAlignment="1" applyProtection="1">
      <alignment horizontal="center" vertical="center"/>
      <protection/>
    </xf>
    <xf numFmtId="0" fontId="19" fillId="36" borderId="51" xfId="0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right" vertical="center"/>
      <protection/>
    </xf>
    <xf numFmtId="0" fontId="16" fillId="0" borderId="59" xfId="0" applyFont="1" applyFill="1" applyBorder="1" applyAlignment="1" applyProtection="1">
      <alignment horizontal="right" vertical="center"/>
      <protection/>
    </xf>
    <xf numFmtId="0" fontId="16" fillId="0" borderId="22" xfId="0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 wrapText="1" shrinkToFit="1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9" fillId="36" borderId="18" xfId="0" applyFont="1" applyFill="1" applyBorder="1" applyAlignment="1" applyProtection="1">
      <alignment horizontal="center" vertical="center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center" vertical="center" wrapText="1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4"/>
  <sheetViews>
    <sheetView tabSelected="1" zoomScale="90" zoomScaleNormal="90" zoomScalePageLayoutView="0" workbookViewId="0" topLeftCell="A286">
      <selection activeCell="W10" sqref="W10"/>
    </sheetView>
  </sheetViews>
  <sheetFormatPr defaultColWidth="8.796875" defaultRowHeight="14.25"/>
  <cols>
    <col min="1" max="1" width="5.5" style="5" customWidth="1"/>
    <col min="2" max="2" width="11.5" style="6" customWidth="1"/>
    <col min="3" max="3" width="61.59765625" style="7" customWidth="1"/>
    <col min="4" max="4" width="11.59765625" style="5" customWidth="1"/>
    <col min="5" max="5" width="6.59765625" style="5" customWidth="1"/>
    <col min="6" max="6" width="14.3984375" style="5" customWidth="1"/>
    <col min="7" max="7" width="22.3984375" style="2" hidden="1" customWidth="1"/>
    <col min="8" max="8" width="13.59765625" style="1" hidden="1" customWidth="1"/>
    <col min="9" max="9" width="19" style="1" hidden="1" customWidth="1"/>
    <col min="10" max="10" width="18.59765625" style="1" hidden="1" customWidth="1"/>
    <col min="11" max="11" width="14.8984375" style="1" hidden="1" customWidth="1"/>
    <col min="12" max="12" width="13.59765625" style="1" hidden="1" customWidth="1"/>
    <col min="13" max="13" width="11.69921875" style="1" hidden="1" customWidth="1"/>
    <col min="14" max="14" width="11.5" style="1" hidden="1" customWidth="1"/>
    <col min="15" max="15" width="17.8984375" style="1" hidden="1" customWidth="1"/>
    <col min="16" max="20" width="9" style="1" customWidth="1"/>
    <col min="21" max="21" width="11.59765625" style="1" customWidth="1"/>
    <col min="22" max="16384" width="9" style="1" customWidth="1"/>
  </cols>
  <sheetData>
    <row r="1" spans="3:6" ht="18.75">
      <c r="C1" s="150" t="s">
        <v>227</v>
      </c>
      <c r="D1" s="199"/>
      <c r="E1" s="199"/>
      <c r="F1" s="199"/>
    </row>
    <row r="2" spans="1:6" ht="18.75">
      <c r="A2" s="200" t="s">
        <v>16</v>
      </c>
      <c r="B2" s="201"/>
      <c r="C2" s="201"/>
      <c r="D2" s="201"/>
      <c r="E2" s="202"/>
      <c r="F2" s="202"/>
    </row>
    <row r="3" spans="1:10" ht="54.75" customHeight="1" thickBot="1">
      <c r="A3" s="148"/>
      <c r="B3" s="149"/>
      <c r="C3" s="149"/>
      <c r="D3" s="149"/>
      <c r="E3" s="149"/>
      <c r="F3" s="149"/>
      <c r="I3" s="3"/>
      <c r="J3" s="3"/>
    </row>
    <row r="4" spans="1:15" ht="18.75" thickBot="1">
      <c r="A4" s="174" t="s">
        <v>97</v>
      </c>
      <c r="B4" s="174" t="s">
        <v>98</v>
      </c>
      <c r="C4" s="175" t="s">
        <v>99</v>
      </c>
      <c r="D4" s="175" t="s">
        <v>101</v>
      </c>
      <c r="E4" s="174" t="s">
        <v>212</v>
      </c>
      <c r="F4" s="138"/>
      <c r="G4" s="4"/>
      <c r="H4" s="193" t="s">
        <v>147</v>
      </c>
      <c r="I4" s="192" t="s">
        <v>151</v>
      </c>
      <c r="J4" s="192" t="s">
        <v>207</v>
      </c>
      <c r="K4" s="192" t="s">
        <v>206</v>
      </c>
      <c r="L4" s="192" t="s">
        <v>148</v>
      </c>
      <c r="M4" s="193" t="s">
        <v>149</v>
      </c>
      <c r="N4" s="203" t="s">
        <v>150</v>
      </c>
      <c r="O4" s="203" t="s">
        <v>181</v>
      </c>
    </row>
    <row r="5" spans="1:15" ht="16.5" thickBot="1">
      <c r="A5" s="174"/>
      <c r="B5" s="174"/>
      <c r="C5" s="175"/>
      <c r="D5" s="174"/>
      <c r="E5" s="174"/>
      <c r="F5" s="137"/>
      <c r="H5" s="193"/>
      <c r="I5" s="192"/>
      <c r="J5" s="192"/>
      <c r="K5" s="192"/>
      <c r="L5" s="192"/>
      <c r="M5" s="193"/>
      <c r="N5" s="203"/>
      <c r="O5" s="203"/>
    </row>
    <row r="6" spans="1:6" ht="24.75" customHeight="1" thickBot="1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/>
    </row>
    <row r="7" spans="1:6" ht="24.75" customHeight="1" thickBot="1">
      <c r="A7" s="194" t="s">
        <v>103</v>
      </c>
      <c r="B7" s="195"/>
      <c r="C7" s="195"/>
      <c r="D7" s="195"/>
      <c r="E7" s="195"/>
      <c r="F7" s="196"/>
    </row>
    <row r="8" spans="1:6" ht="16.5" thickBot="1">
      <c r="A8" s="139">
        <v>1</v>
      </c>
      <c r="B8" s="140" t="s">
        <v>104</v>
      </c>
      <c r="C8" s="140" t="s">
        <v>280</v>
      </c>
      <c r="D8" s="141">
        <v>0.59</v>
      </c>
      <c r="E8" s="141" t="s">
        <v>132</v>
      </c>
      <c r="F8" s="139"/>
    </row>
    <row r="9" spans="1:6" ht="18" customHeight="1">
      <c r="A9" s="161">
        <v>2</v>
      </c>
      <c r="B9" s="164" t="s">
        <v>121</v>
      </c>
      <c r="C9" s="197" t="s">
        <v>94</v>
      </c>
      <c r="D9" s="158">
        <v>1</v>
      </c>
      <c r="E9" s="158" t="s">
        <v>113</v>
      </c>
      <c r="F9" s="161"/>
    </row>
    <row r="10" spans="1:6" ht="36" customHeight="1" thickBot="1">
      <c r="A10" s="170"/>
      <c r="B10" s="177"/>
      <c r="C10" s="198"/>
      <c r="D10" s="160"/>
      <c r="E10" s="160"/>
      <c r="F10" s="163"/>
    </row>
    <row r="11" spans="1:6" ht="18" customHeight="1">
      <c r="A11" s="161">
        <v>3</v>
      </c>
      <c r="B11" s="164" t="s">
        <v>121</v>
      </c>
      <c r="C11" s="164" t="s">
        <v>95</v>
      </c>
      <c r="D11" s="158">
        <v>1</v>
      </c>
      <c r="E11" s="158" t="s">
        <v>113</v>
      </c>
      <c r="F11" s="161"/>
    </row>
    <row r="12" spans="1:6" ht="18" customHeight="1">
      <c r="A12" s="187"/>
      <c r="B12" s="186"/>
      <c r="C12" s="189"/>
      <c r="D12" s="159"/>
      <c r="E12" s="159"/>
      <c r="F12" s="162"/>
    </row>
    <row r="13" spans="1:6" ht="25.5" customHeight="1" thickBot="1">
      <c r="A13" s="170"/>
      <c r="B13" s="176"/>
      <c r="C13" s="176"/>
      <c r="D13" s="160"/>
      <c r="E13" s="160"/>
      <c r="F13" s="163"/>
    </row>
    <row r="14" spans="1:6" ht="24" customHeight="1" thickBot="1">
      <c r="A14" s="161">
        <v>4</v>
      </c>
      <c r="B14" s="164" t="s">
        <v>124</v>
      </c>
      <c r="C14" s="167" t="s">
        <v>281</v>
      </c>
      <c r="D14" s="158">
        <v>508.5</v>
      </c>
      <c r="E14" s="158" t="s">
        <v>106</v>
      </c>
      <c r="F14" s="161"/>
    </row>
    <row r="15" spans="1:6" ht="25.5" customHeight="1" thickBot="1">
      <c r="A15" s="170"/>
      <c r="B15" s="177"/>
      <c r="C15" s="167"/>
      <c r="D15" s="160"/>
      <c r="E15" s="160"/>
      <c r="F15" s="163"/>
    </row>
    <row r="16" spans="1:6" ht="18.75" customHeight="1" thickBot="1">
      <c r="A16" s="161">
        <v>5</v>
      </c>
      <c r="B16" s="164" t="s">
        <v>130</v>
      </c>
      <c r="C16" s="167" t="s">
        <v>282</v>
      </c>
      <c r="D16" s="168">
        <v>1947</v>
      </c>
      <c r="E16" s="158" t="s">
        <v>106</v>
      </c>
      <c r="F16" s="161"/>
    </row>
    <row r="17" spans="1:6" ht="31.5" customHeight="1" thickBot="1">
      <c r="A17" s="170"/>
      <c r="B17" s="177"/>
      <c r="C17" s="167"/>
      <c r="D17" s="160"/>
      <c r="E17" s="160"/>
      <c r="F17" s="163"/>
    </row>
    <row r="18" spans="1:6" ht="18.75" customHeight="1" thickBot="1">
      <c r="A18" s="161">
        <v>6</v>
      </c>
      <c r="B18" s="164" t="s">
        <v>130</v>
      </c>
      <c r="C18" s="167" t="s">
        <v>283</v>
      </c>
      <c r="D18" s="158">
        <v>155.5</v>
      </c>
      <c r="E18" s="158" t="s">
        <v>106</v>
      </c>
      <c r="F18" s="161"/>
    </row>
    <row r="19" spans="1:6" ht="35.25" customHeight="1" thickBot="1">
      <c r="A19" s="170"/>
      <c r="B19" s="177"/>
      <c r="C19" s="167"/>
      <c r="D19" s="160"/>
      <c r="E19" s="160"/>
      <c r="F19" s="163"/>
    </row>
    <row r="20" spans="1:6" ht="18.75" customHeight="1" thickBot="1">
      <c r="A20" s="161">
        <v>7</v>
      </c>
      <c r="B20" s="164" t="s">
        <v>130</v>
      </c>
      <c r="C20" s="167" t="s">
        <v>2</v>
      </c>
      <c r="D20" s="158">
        <v>87.5</v>
      </c>
      <c r="E20" s="158" t="s">
        <v>106</v>
      </c>
      <c r="F20" s="161"/>
    </row>
    <row r="21" spans="1:6" ht="28.5" customHeight="1" thickBot="1">
      <c r="A21" s="170"/>
      <c r="B21" s="177"/>
      <c r="C21" s="167"/>
      <c r="D21" s="160"/>
      <c r="E21" s="160"/>
      <c r="F21" s="163"/>
    </row>
    <row r="22" spans="1:6" ht="18.75" customHeight="1" thickBot="1">
      <c r="A22" s="161">
        <v>8</v>
      </c>
      <c r="B22" s="164" t="s">
        <v>130</v>
      </c>
      <c r="C22" s="164" t="s">
        <v>96</v>
      </c>
      <c r="D22" s="185">
        <v>4404.5</v>
      </c>
      <c r="E22" s="184" t="s">
        <v>106</v>
      </c>
      <c r="F22" s="161"/>
    </row>
    <row r="23" spans="1:6" ht="23.25" customHeight="1" thickBot="1">
      <c r="A23" s="170"/>
      <c r="B23" s="177"/>
      <c r="C23" s="176"/>
      <c r="D23" s="185"/>
      <c r="E23" s="184"/>
      <c r="F23" s="163"/>
    </row>
    <row r="24" spans="1:6" ht="18.75" customHeight="1" thickBot="1">
      <c r="A24" s="161">
        <v>9</v>
      </c>
      <c r="B24" s="164" t="s">
        <v>130</v>
      </c>
      <c r="C24" s="164" t="s">
        <v>64</v>
      </c>
      <c r="D24" s="184">
        <v>514</v>
      </c>
      <c r="E24" s="184" t="s">
        <v>106</v>
      </c>
      <c r="F24" s="161"/>
    </row>
    <row r="25" spans="1:6" ht="18.75" customHeight="1" thickBot="1">
      <c r="A25" s="187"/>
      <c r="B25" s="186"/>
      <c r="C25" s="189"/>
      <c r="D25" s="184"/>
      <c r="E25" s="184"/>
      <c r="F25" s="162"/>
    </row>
    <row r="26" spans="1:6" ht="18.75" customHeight="1" thickBot="1">
      <c r="A26" s="170"/>
      <c r="B26" s="180"/>
      <c r="C26" s="176"/>
      <c r="D26" s="184"/>
      <c r="E26" s="184"/>
      <c r="F26" s="163"/>
    </row>
    <row r="27" spans="1:6" ht="18" customHeight="1">
      <c r="A27" s="161">
        <v>10</v>
      </c>
      <c r="B27" s="164" t="s">
        <v>130</v>
      </c>
      <c r="C27" s="143" t="s">
        <v>65</v>
      </c>
      <c r="D27" s="168">
        <v>1008.5</v>
      </c>
      <c r="E27" s="158" t="s">
        <v>106</v>
      </c>
      <c r="F27" s="161"/>
    </row>
    <row r="28" spans="1:6" ht="18.75" customHeight="1" thickBot="1">
      <c r="A28" s="170"/>
      <c r="B28" s="177"/>
      <c r="C28" s="144" t="s">
        <v>3</v>
      </c>
      <c r="D28" s="160"/>
      <c r="E28" s="160"/>
      <c r="F28" s="163"/>
    </row>
    <row r="29" spans="1:6" ht="18.75" customHeight="1" thickBot="1">
      <c r="A29" s="161">
        <v>11</v>
      </c>
      <c r="B29" s="164" t="s">
        <v>130</v>
      </c>
      <c r="C29" s="167" t="s">
        <v>4</v>
      </c>
      <c r="D29" s="158">
        <v>18</v>
      </c>
      <c r="E29" s="158" t="s">
        <v>106</v>
      </c>
      <c r="F29" s="161"/>
    </row>
    <row r="30" spans="1:6" ht="28.5" customHeight="1" thickBot="1">
      <c r="A30" s="170"/>
      <c r="B30" s="177"/>
      <c r="C30" s="167"/>
      <c r="D30" s="160"/>
      <c r="E30" s="160"/>
      <c r="F30" s="163"/>
    </row>
    <row r="31" spans="1:6" ht="18.75" customHeight="1" thickBot="1">
      <c r="A31" s="161">
        <v>12</v>
      </c>
      <c r="B31" s="164" t="s">
        <v>130</v>
      </c>
      <c r="C31" s="167" t="s">
        <v>5</v>
      </c>
      <c r="D31" s="168">
        <v>1217.5</v>
      </c>
      <c r="E31" s="158" t="s">
        <v>105</v>
      </c>
      <c r="F31" s="161"/>
    </row>
    <row r="32" spans="1:6" ht="27.75" customHeight="1" thickBot="1">
      <c r="A32" s="170"/>
      <c r="B32" s="177"/>
      <c r="C32" s="167"/>
      <c r="D32" s="160"/>
      <c r="E32" s="160"/>
      <c r="F32" s="163"/>
    </row>
    <row r="33" spans="1:6" ht="18.75" customHeight="1" thickBot="1">
      <c r="A33" s="161">
        <v>13</v>
      </c>
      <c r="B33" s="164" t="s">
        <v>130</v>
      </c>
      <c r="C33" s="167" t="s">
        <v>6</v>
      </c>
      <c r="D33" s="158">
        <v>62</v>
      </c>
      <c r="E33" s="158" t="s">
        <v>105</v>
      </c>
      <c r="F33" s="161"/>
    </row>
    <row r="34" spans="1:6" ht="29.25" customHeight="1" thickBot="1">
      <c r="A34" s="170"/>
      <c r="B34" s="177"/>
      <c r="C34" s="167"/>
      <c r="D34" s="160"/>
      <c r="E34" s="160"/>
      <c r="F34" s="163"/>
    </row>
    <row r="35" spans="1:6" ht="18.75" customHeight="1" thickBot="1">
      <c r="A35" s="161">
        <v>14</v>
      </c>
      <c r="B35" s="164" t="s">
        <v>130</v>
      </c>
      <c r="C35" s="167" t="s">
        <v>7</v>
      </c>
      <c r="D35" s="158">
        <v>906.5</v>
      </c>
      <c r="E35" s="158" t="s">
        <v>105</v>
      </c>
      <c r="F35" s="161"/>
    </row>
    <row r="36" spans="1:6" ht="30.75" customHeight="1" thickBot="1">
      <c r="A36" s="170"/>
      <c r="B36" s="177"/>
      <c r="C36" s="167"/>
      <c r="D36" s="160"/>
      <c r="E36" s="160"/>
      <c r="F36" s="163"/>
    </row>
    <row r="37" spans="1:6" ht="25.5" customHeight="1" thickBot="1">
      <c r="A37" s="155" t="s">
        <v>108</v>
      </c>
      <c r="B37" s="178"/>
      <c r="C37" s="178"/>
      <c r="D37" s="178"/>
      <c r="E37" s="178"/>
      <c r="F37" s="179"/>
    </row>
    <row r="38" spans="1:6" ht="18.75" customHeight="1" thickBot="1">
      <c r="A38" s="161">
        <v>15</v>
      </c>
      <c r="B38" s="164" t="s">
        <v>125</v>
      </c>
      <c r="C38" s="167" t="s">
        <v>8</v>
      </c>
      <c r="D38" s="158">
        <v>139.33</v>
      </c>
      <c r="E38" s="158" t="s">
        <v>109</v>
      </c>
      <c r="F38" s="161"/>
    </row>
    <row r="39" spans="1:6" ht="18.75" customHeight="1" thickBot="1">
      <c r="A39" s="187"/>
      <c r="B39" s="165"/>
      <c r="C39" s="167"/>
      <c r="D39" s="159"/>
      <c r="E39" s="159"/>
      <c r="F39" s="162"/>
    </row>
    <row r="40" spans="1:6" ht="32.25" customHeight="1" thickBot="1">
      <c r="A40" s="170"/>
      <c r="B40" s="177"/>
      <c r="C40" s="167"/>
      <c r="D40" s="160"/>
      <c r="E40" s="160"/>
      <c r="F40" s="163"/>
    </row>
    <row r="41" spans="1:6" ht="32.25" customHeight="1" thickBot="1">
      <c r="A41" s="155" t="s">
        <v>123</v>
      </c>
      <c r="B41" s="178"/>
      <c r="C41" s="178"/>
      <c r="D41" s="178"/>
      <c r="E41" s="178"/>
      <c r="F41" s="179"/>
    </row>
    <row r="42" spans="1:6" ht="18.75" customHeight="1" thickBot="1">
      <c r="A42" s="161">
        <v>16</v>
      </c>
      <c r="B42" s="167" t="s">
        <v>133</v>
      </c>
      <c r="C42" s="164" t="s">
        <v>66</v>
      </c>
      <c r="D42" s="184">
        <v>18</v>
      </c>
      <c r="E42" s="184" t="s">
        <v>135</v>
      </c>
      <c r="F42" s="161"/>
    </row>
    <row r="43" spans="1:6" ht="15.75" customHeight="1" thickBot="1">
      <c r="A43" s="170"/>
      <c r="B43" s="167"/>
      <c r="C43" s="176"/>
      <c r="D43" s="184"/>
      <c r="E43" s="184"/>
      <c r="F43" s="163"/>
    </row>
    <row r="44" spans="1:6" ht="18.75" customHeight="1" thickBot="1">
      <c r="A44" s="161">
        <v>17</v>
      </c>
      <c r="B44" s="164" t="s">
        <v>133</v>
      </c>
      <c r="C44" s="167" t="s">
        <v>235</v>
      </c>
      <c r="D44" s="158">
        <v>10.88</v>
      </c>
      <c r="E44" s="158" t="s">
        <v>109</v>
      </c>
      <c r="F44" s="161"/>
    </row>
    <row r="45" spans="1:6" ht="14.25" customHeight="1" thickBot="1">
      <c r="A45" s="170"/>
      <c r="B45" s="177"/>
      <c r="C45" s="167"/>
      <c r="D45" s="160"/>
      <c r="E45" s="160"/>
      <c r="F45" s="163"/>
    </row>
    <row r="46" spans="1:6" ht="18.75" customHeight="1" thickBot="1">
      <c r="A46" s="161">
        <v>18</v>
      </c>
      <c r="B46" s="164" t="s">
        <v>133</v>
      </c>
      <c r="C46" s="167" t="s">
        <v>9</v>
      </c>
      <c r="D46" s="158">
        <v>34</v>
      </c>
      <c r="E46" s="158" t="s">
        <v>109</v>
      </c>
      <c r="F46" s="161"/>
    </row>
    <row r="47" spans="1:6" ht="25.5" customHeight="1" thickBot="1">
      <c r="A47" s="170"/>
      <c r="B47" s="177"/>
      <c r="C47" s="167"/>
      <c r="D47" s="160"/>
      <c r="E47" s="160"/>
      <c r="F47" s="163"/>
    </row>
    <row r="48" spans="1:6" ht="18.75" customHeight="1" thickBot="1">
      <c r="A48" s="161">
        <v>19</v>
      </c>
      <c r="B48" s="164" t="s">
        <v>133</v>
      </c>
      <c r="C48" s="167" t="s">
        <v>236</v>
      </c>
      <c r="D48" s="158">
        <v>102</v>
      </c>
      <c r="E48" s="158" t="s">
        <v>106</v>
      </c>
      <c r="F48" s="161"/>
    </row>
    <row r="49" spans="1:6" ht="28.5" customHeight="1" thickBot="1">
      <c r="A49" s="170"/>
      <c r="B49" s="177"/>
      <c r="C49" s="167"/>
      <c r="D49" s="160"/>
      <c r="E49" s="160"/>
      <c r="F49" s="163"/>
    </row>
    <row r="50" spans="1:6" ht="18.75" customHeight="1" thickBot="1">
      <c r="A50" s="161">
        <v>20</v>
      </c>
      <c r="B50" s="164" t="s">
        <v>133</v>
      </c>
      <c r="C50" s="167" t="s">
        <v>136</v>
      </c>
      <c r="D50" s="158">
        <v>34</v>
      </c>
      <c r="E50" s="158" t="s">
        <v>109</v>
      </c>
      <c r="F50" s="161"/>
    </row>
    <row r="51" spans="1:6" ht="25.5" customHeight="1" thickBot="1">
      <c r="A51" s="170"/>
      <c r="B51" s="177"/>
      <c r="C51" s="167"/>
      <c r="D51" s="160"/>
      <c r="E51" s="160"/>
      <c r="F51" s="163"/>
    </row>
    <row r="52" spans="1:6" ht="32.25" customHeight="1" thickBot="1">
      <c r="A52" s="139">
        <v>21</v>
      </c>
      <c r="B52" s="140" t="s">
        <v>133</v>
      </c>
      <c r="C52" s="140" t="s">
        <v>137</v>
      </c>
      <c r="D52" s="141">
        <v>50.49</v>
      </c>
      <c r="E52" s="141" t="s">
        <v>106</v>
      </c>
      <c r="F52" s="139"/>
    </row>
    <row r="53" spans="1:6" ht="18.75" customHeight="1" thickBot="1">
      <c r="A53" s="161">
        <v>22</v>
      </c>
      <c r="B53" s="164" t="s">
        <v>133</v>
      </c>
      <c r="C53" s="167" t="s">
        <v>162</v>
      </c>
      <c r="D53" s="158">
        <v>17</v>
      </c>
      <c r="E53" s="158" t="s">
        <v>113</v>
      </c>
      <c r="F53" s="161"/>
    </row>
    <row r="54" spans="1:6" ht="45" customHeight="1" thickBot="1">
      <c r="A54" s="170"/>
      <c r="B54" s="177"/>
      <c r="C54" s="167"/>
      <c r="D54" s="160"/>
      <c r="E54" s="160"/>
      <c r="F54" s="163"/>
    </row>
    <row r="55" spans="1:6" ht="18.75" customHeight="1" thickBot="1">
      <c r="A55" s="161">
        <v>23</v>
      </c>
      <c r="B55" s="164" t="s">
        <v>133</v>
      </c>
      <c r="C55" s="167" t="s">
        <v>10</v>
      </c>
      <c r="D55" s="158">
        <v>211.99</v>
      </c>
      <c r="E55" s="158" t="s">
        <v>106</v>
      </c>
      <c r="F55" s="161"/>
    </row>
    <row r="56" spans="1:6" ht="31.5" customHeight="1" thickBot="1">
      <c r="A56" s="170"/>
      <c r="B56" s="177"/>
      <c r="C56" s="167"/>
      <c r="D56" s="160"/>
      <c r="E56" s="160"/>
      <c r="F56" s="163"/>
    </row>
    <row r="57" spans="1:6" ht="32.25" thickBot="1">
      <c r="A57" s="139">
        <v>24</v>
      </c>
      <c r="B57" s="140" t="s">
        <v>138</v>
      </c>
      <c r="C57" s="140" t="s">
        <v>11</v>
      </c>
      <c r="D57" s="141">
        <v>7</v>
      </c>
      <c r="E57" s="141" t="s">
        <v>135</v>
      </c>
      <c r="F57" s="139"/>
    </row>
    <row r="58" spans="1:6" ht="18.75" customHeight="1" thickBot="1">
      <c r="A58" s="161">
        <v>25</v>
      </c>
      <c r="B58" s="167" t="s">
        <v>138</v>
      </c>
      <c r="C58" s="164" t="s">
        <v>39</v>
      </c>
      <c r="D58" s="184">
        <v>19</v>
      </c>
      <c r="E58" s="184" t="s">
        <v>135</v>
      </c>
      <c r="F58" s="161"/>
    </row>
    <row r="59" spans="1:6" ht="6" customHeight="1" thickBot="1">
      <c r="A59" s="170"/>
      <c r="B59" s="167"/>
      <c r="C59" s="176"/>
      <c r="D59" s="184"/>
      <c r="E59" s="184"/>
      <c r="F59" s="163"/>
    </row>
    <row r="60" spans="1:6" ht="18.75" customHeight="1" thickBot="1">
      <c r="A60" s="161">
        <v>26</v>
      </c>
      <c r="B60" s="167" t="s">
        <v>138</v>
      </c>
      <c r="C60" s="164" t="s">
        <v>40</v>
      </c>
      <c r="D60" s="184">
        <v>5</v>
      </c>
      <c r="E60" s="184" t="s">
        <v>135</v>
      </c>
      <c r="F60" s="161"/>
    </row>
    <row r="61" spans="1:6" ht="5.25" customHeight="1" thickBot="1">
      <c r="A61" s="170"/>
      <c r="B61" s="167"/>
      <c r="C61" s="176"/>
      <c r="D61" s="184"/>
      <c r="E61" s="184"/>
      <c r="F61" s="163"/>
    </row>
    <row r="62" spans="1:6" ht="18.75" customHeight="1" thickBot="1">
      <c r="A62" s="161">
        <v>27</v>
      </c>
      <c r="B62" s="167" t="s">
        <v>138</v>
      </c>
      <c r="C62" s="164" t="s">
        <v>41</v>
      </c>
      <c r="D62" s="184">
        <v>3</v>
      </c>
      <c r="E62" s="184" t="s">
        <v>135</v>
      </c>
      <c r="F62" s="161"/>
    </row>
    <row r="63" spans="1:6" ht="6.75" customHeight="1" thickBot="1">
      <c r="A63" s="170"/>
      <c r="B63" s="167"/>
      <c r="C63" s="176"/>
      <c r="D63" s="184"/>
      <c r="E63" s="184"/>
      <c r="F63" s="163"/>
    </row>
    <row r="64" spans="1:6" ht="18.75" customHeight="1" thickBot="1">
      <c r="A64" s="161">
        <v>28</v>
      </c>
      <c r="B64" s="167" t="s">
        <v>138</v>
      </c>
      <c r="C64" s="164" t="s">
        <v>42</v>
      </c>
      <c r="D64" s="184">
        <v>16</v>
      </c>
      <c r="E64" s="184" t="s">
        <v>135</v>
      </c>
      <c r="F64" s="161"/>
    </row>
    <row r="65" spans="1:6" ht="8.25" customHeight="1" thickBot="1">
      <c r="A65" s="170"/>
      <c r="B65" s="167"/>
      <c r="C65" s="176"/>
      <c r="D65" s="184"/>
      <c r="E65" s="184"/>
      <c r="F65" s="163"/>
    </row>
    <row r="66" spans="1:6" ht="32.25" thickBot="1">
      <c r="A66" s="139">
        <v>29</v>
      </c>
      <c r="B66" s="140" t="s">
        <v>138</v>
      </c>
      <c r="C66" s="140" t="s">
        <v>237</v>
      </c>
      <c r="D66" s="141">
        <v>20</v>
      </c>
      <c r="E66" s="141" t="s">
        <v>135</v>
      </c>
      <c r="F66" s="139"/>
    </row>
    <row r="67" spans="1:6" ht="18.75" customHeight="1" thickBot="1">
      <c r="A67" s="161">
        <v>30</v>
      </c>
      <c r="B67" s="167" t="s">
        <v>138</v>
      </c>
      <c r="C67" s="164" t="s">
        <v>43</v>
      </c>
      <c r="D67" s="184">
        <v>2</v>
      </c>
      <c r="E67" s="184" t="s">
        <v>135</v>
      </c>
      <c r="F67" s="161"/>
    </row>
    <row r="68" spans="1:6" ht="5.25" customHeight="1" thickBot="1">
      <c r="A68" s="170"/>
      <c r="B68" s="167"/>
      <c r="C68" s="176"/>
      <c r="D68" s="184"/>
      <c r="E68" s="184"/>
      <c r="F68" s="163"/>
    </row>
    <row r="69" spans="1:6" ht="18.75" customHeight="1" thickBot="1">
      <c r="A69" s="161">
        <v>31</v>
      </c>
      <c r="B69" s="167" t="s">
        <v>138</v>
      </c>
      <c r="C69" s="164" t="s">
        <v>44</v>
      </c>
      <c r="D69" s="184">
        <v>11</v>
      </c>
      <c r="E69" s="184" t="s">
        <v>135</v>
      </c>
      <c r="F69" s="161"/>
    </row>
    <row r="70" spans="1:6" ht="5.25" customHeight="1" thickBot="1">
      <c r="A70" s="170"/>
      <c r="B70" s="167"/>
      <c r="C70" s="176"/>
      <c r="D70" s="184"/>
      <c r="E70" s="184"/>
      <c r="F70" s="163"/>
    </row>
    <row r="71" spans="1:6" ht="16.5" thickBot="1">
      <c r="A71" s="155" t="s">
        <v>111</v>
      </c>
      <c r="B71" s="178"/>
      <c r="C71" s="178"/>
      <c r="D71" s="178"/>
      <c r="E71" s="178"/>
      <c r="F71" s="179"/>
    </row>
    <row r="72" spans="1:6" ht="18.75" customHeight="1" thickBot="1">
      <c r="A72" s="161">
        <v>32</v>
      </c>
      <c r="B72" s="169" t="s">
        <v>112</v>
      </c>
      <c r="C72" s="167" t="s">
        <v>205</v>
      </c>
      <c r="D72" s="158">
        <v>680.4</v>
      </c>
      <c r="E72" s="158" t="s">
        <v>106</v>
      </c>
      <c r="F72" s="161"/>
    </row>
    <row r="73" spans="1:6" ht="28.5" customHeight="1" thickBot="1">
      <c r="A73" s="170"/>
      <c r="B73" s="170"/>
      <c r="C73" s="167"/>
      <c r="D73" s="160"/>
      <c r="E73" s="160"/>
      <c r="F73" s="163"/>
    </row>
    <row r="74" spans="1:6" ht="18.75" customHeight="1" thickBot="1">
      <c r="A74" s="161">
        <v>33</v>
      </c>
      <c r="B74" s="167" t="s">
        <v>112</v>
      </c>
      <c r="C74" s="164" t="s">
        <v>45</v>
      </c>
      <c r="D74" s="185">
        <v>3795.95</v>
      </c>
      <c r="E74" s="158" t="s">
        <v>106</v>
      </c>
      <c r="F74" s="161"/>
    </row>
    <row r="75" spans="1:6" ht="18.75" customHeight="1" thickBot="1">
      <c r="A75" s="170"/>
      <c r="B75" s="167"/>
      <c r="C75" s="176"/>
      <c r="D75" s="185"/>
      <c r="E75" s="188"/>
      <c r="F75" s="163"/>
    </row>
    <row r="76" spans="1:6" ht="18.75" customHeight="1" thickBot="1">
      <c r="A76" s="161">
        <v>34</v>
      </c>
      <c r="B76" s="164" t="s">
        <v>127</v>
      </c>
      <c r="C76" s="167" t="s">
        <v>12</v>
      </c>
      <c r="D76" s="158">
        <v>68.5</v>
      </c>
      <c r="E76" s="158" t="s">
        <v>106</v>
      </c>
      <c r="F76" s="161"/>
    </row>
    <row r="77" spans="1:6" ht="34.5" customHeight="1" thickBot="1">
      <c r="A77" s="170"/>
      <c r="B77" s="177"/>
      <c r="C77" s="167"/>
      <c r="D77" s="160"/>
      <c r="E77" s="160"/>
      <c r="F77" s="163"/>
    </row>
    <row r="78" spans="1:6" ht="18.75" customHeight="1" thickBot="1">
      <c r="A78" s="161">
        <v>35</v>
      </c>
      <c r="B78" s="164" t="s">
        <v>127</v>
      </c>
      <c r="C78" s="167" t="s">
        <v>13</v>
      </c>
      <c r="D78" s="158">
        <v>680.4</v>
      </c>
      <c r="E78" s="158" t="s">
        <v>106</v>
      </c>
      <c r="F78" s="161"/>
    </row>
    <row r="79" spans="1:6" ht="18.75" customHeight="1" thickBot="1">
      <c r="A79" s="187"/>
      <c r="B79" s="165"/>
      <c r="C79" s="167"/>
      <c r="D79" s="159"/>
      <c r="E79" s="159"/>
      <c r="F79" s="162"/>
    </row>
    <row r="80" spans="1:6" ht="30.75" customHeight="1" thickBot="1">
      <c r="A80" s="170"/>
      <c r="B80" s="177"/>
      <c r="C80" s="167"/>
      <c r="D80" s="160"/>
      <c r="E80" s="160"/>
      <c r="F80" s="163"/>
    </row>
    <row r="81" spans="1:6" ht="18.75" customHeight="1" thickBot="1">
      <c r="A81" s="161">
        <v>36</v>
      </c>
      <c r="B81" s="164"/>
      <c r="C81" s="167" t="s">
        <v>14</v>
      </c>
      <c r="D81" s="168">
        <v>3489.9</v>
      </c>
      <c r="E81" s="158" t="s">
        <v>106</v>
      </c>
      <c r="F81" s="161"/>
    </row>
    <row r="82" spans="1:6" ht="46.5" customHeight="1" thickBot="1">
      <c r="A82" s="170"/>
      <c r="B82" s="176"/>
      <c r="C82" s="167"/>
      <c r="D82" s="160"/>
      <c r="E82" s="160"/>
      <c r="F82" s="163"/>
    </row>
    <row r="83" spans="1:6" ht="26.25" customHeight="1" thickBot="1">
      <c r="A83" s="155" t="s">
        <v>115</v>
      </c>
      <c r="B83" s="178"/>
      <c r="C83" s="178"/>
      <c r="D83" s="178"/>
      <c r="E83" s="178"/>
      <c r="F83" s="179"/>
    </row>
    <row r="84" spans="1:6" ht="18.75" customHeight="1" thickBot="1">
      <c r="A84" s="161">
        <v>37</v>
      </c>
      <c r="B84" s="169" t="s">
        <v>140</v>
      </c>
      <c r="C84" s="164" t="s">
        <v>47</v>
      </c>
      <c r="D84" s="185">
        <v>3489.9</v>
      </c>
      <c r="E84" s="184" t="s">
        <v>106</v>
      </c>
      <c r="F84" s="161"/>
    </row>
    <row r="85" spans="1:6" ht="31.5" customHeight="1" thickBot="1">
      <c r="A85" s="170"/>
      <c r="B85" s="170"/>
      <c r="C85" s="180"/>
      <c r="D85" s="185"/>
      <c r="E85" s="184"/>
      <c r="F85" s="163"/>
    </row>
    <row r="86" spans="1:6" ht="18.75" customHeight="1" thickBot="1">
      <c r="A86" s="161">
        <v>38</v>
      </c>
      <c r="B86" s="167" t="s">
        <v>128</v>
      </c>
      <c r="C86" s="164" t="s">
        <v>46</v>
      </c>
      <c r="D86" s="185">
        <v>3047.05</v>
      </c>
      <c r="E86" s="184" t="s">
        <v>106</v>
      </c>
      <c r="F86" s="161"/>
    </row>
    <row r="87" spans="1:6" ht="18.75" customHeight="1" thickBot="1">
      <c r="A87" s="170"/>
      <c r="B87" s="167"/>
      <c r="C87" s="180"/>
      <c r="D87" s="185"/>
      <c r="E87" s="184"/>
      <c r="F87" s="163"/>
    </row>
    <row r="88" spans="1:6" ht="18.75" customHeight="1" thickBot="1">
      <c r="A88" s="161">
        <v>39</v>
      </c>
      <c r="B88" s="164" t="s">
        <v>128</v>
      </c>
      <c r="C88" s="167" t="s">
        <v>27</v>
      </c>
      <c r="D88" s="158">
        <v>680.4</v>
      </c>
      <c r="E88" s="158" t="s">
        <v>106</v>
      </c>
      <c r="F88" s="161"/>
    </row>
    <row r="89" spans="1:6" ht="28.5" customHeight="1" thickBot="1">
      <c r="A89" s="170"/>
      <c r="B89" s="177"/>
      <c r="C89" s="167"/>
      <c r="D89" s="160"/>
      <c r="E89" s="160"/>
      <c r="F89" s="163"/>
    </row>
    <row r="90" spans="1:6" ht="18.75" customHeight="1" thickBot="1">
      <c r="A90" s="161">
        <v>40</v>
      </c>
      <c r="B90" s="164" t="s">
        <v>128</v>
      </c>
      <c r="C90" s="167" t="s">
        <v>28</v>
      </c>
      <c r="D90" s="158">
        <v>68.5</v>
      </c>
      <c r="E90" s="158" t="s">
        <v>106</v>
      </c>
      <c r="F90" s="161"/>
    </row>
    <row r="91" spans="1:6" ht="18.75" customHeight="1" thickBot="1">
      <c r="A91" s="170"/>
      <c r="B91" s="177"/>
      <c r="C91" s="167"/>
      <c r="D91" s="160"/>
      <c r="E91" s="160"/>
      <c r="F91" s="163"/>
    </row>
    <row r="92" spans="1:6" ht="18.75" thickBot="1">
      <c r="A92" s="155" t="s">
        <v>119</v>
      </c>
      <c r="B92" s="178"/>
      <c r="C92" s="178"/>
      <c r="D92" s="178"/>
      <c r="E92" s="178"/>
      <c r="F92" s="179"/>
    </row>
    <row r="93" spans="1:6" ht="18.75" customHeight="1" thickBot="1">
      <c r="A93" s="161">
        <v>41</v>
      </c>
      <c r="B93" s="167" t="s">
        <v>122</v>
      </c>
      <c r="C93" s="164" t="s">
        <v>48</v>
      </c>
      <c r="D93" s="185">
        <v>1393.3</v>
      </c>
      <c r="E93" s="184" t="s">
        <v>106</v>
      </c>
      <c r="F93" s="161"/>
    </row>
    <row r="94" spans="1:6" ht="18.75" customHeight="1" thickBot="1">
      <c r="A94" s="170"/>
      <c r="B94" s="167"/>
      <c r="C94" s="180"/>
      <c r="D94" s="185"/>
      <c r="E94" s="184"/>
      <c r="F94" s="163"/>
    </row>
    <row r="95" spans="1:6" ht="18.75" thickBot="1">
      <c r="A95" s="155" t="s">
        <v>163</v>
      </c>
      <c r="B95" s="178"/>
      <c r="C95" s="178"/>
      <c r="D95" s="178"/>
      <c r="E95" s="178"/>
      <c r="F95" s="179"/>
    </row>
    <row r="96" spans="1:6" ht="18.75" thickBot="1">
      <c r="A96" s="139">
        <v>42</v>
      </c>
      <c r="B96" s="140" t="s">
        <v>164</v>
      </c>
      <c r="C96" s="140" t="s">
        <v>218</v>
      </c>
      <c r="D96" s="141">
        <v>4.8</v>
      </c>
      <c r="E96" s="141" t="s">
        <v>106</v>
      </c>
      <c r="F96" s="139"/>
    </row>
    <row r="97" spans="1:6" ht="35.25" customHeight="1" thickBot="1">
      <c r="A97" s="161">
        <v>43</v>
      </c>
      <c r="B97" s="167" t="s">
        <v>164</v>
      </c>
      <c r="C97" s="164" t="s">
        <v>49</v>
      </c>
      <c r="D97" s="184">
        <v>78.5</v>
      </c>
      <c r="E97" s="184" t="s">
        <v>106</v>
      </c>
      <c r="F97" s="139"/>
    </row>
    <row r="98" spans="1:6" ht="18.75" hidden="1" thickBot="1">
      <c r="A98" s="170"/>
      <c r="B98" s="167"/>
      <c r="C98" s="180"/>
      <c r="D98" s="184"/>
      <c r="E98" s="184"/>
      <c r="F98" s="139"/>
    </row>
    <row r="99" spans="1:6" ht="18.75" thickBot="1">
      <c r="A99" s="139">
        <v>44</v>
      </c>
      <c r="B99" s="140" t="s">
        <v>164</v>
      </c>
      <c r="C99" s="140" t="s">
        <v>214</v>
      </c>
      <c r="D99" s="141">
        <v>0.66</v>
      </c>
      <c r="E99" s="141" t="s">
        <v>106</v>
      </c>
      <c r="F99" s="139"/>
    </row>
    <row r="100" spans="1:6" ht="18.75" thickBot="1">
      <c r="A100" s="139">
        <v>45</v>
      </c>
      <c r="B100" s="140" t="s">
        <v>165</v>
      </c>
      <c r="C100" s="140" t="s">
        <v>166</v>
      </c>
      <c r="D100" s="141">
        <v>30</v>
      </c>
      <c r="E100" s="141" t="s">
        <v>113</v>
      </c>
      <c r="F100" s="139"/>
    </row>
    <row r="101" spans="1:6" ht="18.75" thickBot="1">
      <c r="A101" s="139">
        <v>46</v>
      </c>
      <c r="B101" s="140" t="s">
        <v>165</v>
      </c>
      <c r="C101" s="140" t="s">
        <v>167</v>
      </c>
      <c r="D101" s="141">
        <v>21</v>
      </c>
      <c r="E101" s="141" t="s">
        <v>113</v>
      </c>
      <c r="F101" s="139"/>
    </row>
    <row r="102" spans="1:6" ht="18.75" thickBot="1">
      <c r="A102" s="139">
        <v>47</v>
      </c>
      <c r="B102" s="140" t="s">
        <v>165</v>
      </c>
      <c r="C102" s="140" t="s">
        <v>172</v>
      </c>
      <c r="D102" s="141">
        <v>14</v>
      </c>
      <c r="E102" s="141" t="s">
        <v>113</v>
      </c>
      <c r="F102" s="139"/>
    </row>
    <row r="103" spans="1:6" ht="18.75" thickBot="1">
      <c r="A103" s="139">
        <v>48</v>
      </c>
      <c r="B103" s="140" t="s">
        <v>165</v>
      </c>
      <c r="C103" s="140" t="s">
        <v>177</v>
      </c>
      <c r="D103" s="141">
        <v>11</v>
      </c>
      <c r="E103" s="141" t="s">
        <v>113</v>
      </c>
      <c r="F103" s="139"/>
    </row>
    <row r="104" spans="1:6" ht="18.75" thickBot="1">
      <c r="A104" s="139">
        <v>49</v>
      </c>
      <c r="B104" s="140" t="s">
        <v>165</v>
      </c>
      <c r="C104" s="140" t="s">
        <v>173</v>
      </c>
      <c r="D104" s="141">
        <v>14</v>
      </c>
      <c r="E104" s="141" t="s">
        <v>113</v>
      </c>
      <c r="F104" s="139"/>
    </row>
    <row r="105" spans="1:6" ht="18.75" thickBot="1">
      <c r="A105" s="139">
        <v>50</v>
      </c>
      <c r="B105" s="140" t="s">
        <v>165</v>
      </c>
      <c r="C105" s="140" t="s">
        <v>174</v>
      </c>
      <c r="D105" s="141">
        <v>7</v>
      </c>
      <c r="E105" s="141" t="s">
        <v>113</v>
      </c>
      <c r="F105" s="139"/>
    </row>
    <row r="106" spans="1:6" ht="32.25" thickBot="1">
      <c r="A106" s="139">
        <v>51</v>
      </c>
      <c r="B106" s="140" t="s">
        <v>169</v>
      </c>
      <c r="C106" s="140" t="s">
        <v>170</v>
      </c>
      <c r="D106" s="141">
        <v>192</v>
      </c>
      <c r="E106" s="141" t="s">
        <v>105</v>
      </c>
      <c r="F106" s="139"/>
    </row>
    <row r="107" spans="1:6" ht="18.75" thickBot="1">
      <c r="A107" s="151" t="s">
        <v>117</v>
      </c>
      <c r="B107" s="182"/>
      <c r="C107" s="182"/>
      <c r="D107" s="182"/>
      <c r="E107" s="182"/>
      <c r="F107" s="183"/>
    </row>
    <row r="108" spans="1:6" ht="18.75" customHeight="1" thickBot="1">
      <c r="A108" s="161">
        <v>52</v>
      </c>
      <c r="B108" s="164" t="s">
        <v>118</v>
      </c>
      <c r="C108" s="181" t="s">
        <v>29</v>
      </c>
      <c r="D108" s="184">
        <v>243.9</v>
      </c>
      <c r="E108" s="184" t="s">
        <v>105</v>
      </c>
      <c r="F108" s="161"/>
    </row>
    <row r="109" spans="1:6" ht="18" customHeight="1" thickBot="1">
      <c r="A109" s="170"/>
      <c r="B109" s="170"/>
      <c r="C109" s="181"/>
      <c r="D109" s="184"/>
      <c r="E109" s="184"/>
      <c r="F109" s="163"/>
    </row>
    <row r="110" spans="1:6" ht="18.75" customHeight="1" thickBot="1">
      <c r="A110" s="161">
        <v>53</v>
      </c>
      <c r="B110" s="164" t="s">
        <v>118</v>
      </c>
      <c r="C110" s="167" t="s">
        <v>30</v>
      </c>
      <c r="D110" s="158">
        <v>28</v>
      </c>
      <c r="E110" s="158" t="s">
        <v>105</v>
      </c>
      <c r="F110" s="161"/>
    </row>
    <row r="111" spans="1:6" ht="30.75" customHeight="1" thickBot="1">
      <c r="A111" s="170"/>
      <c r="B111" s="177"/>
      <c r="C111" s="167"/>
      <c r="D111" s="160"/>
      <c r="E111" s="160"/>
      <c r="F111" s="163"/>
    </row>
    <row r="112" spans="1:6" ht="18.75" customHeight="1" thickBot="1">
      <c r="A112" s="161">
        <v>54</v>
      </c>
      <c r="B112" s="164" t="s">
        <v>142</v>
      </c>
      <c r="C112" s="167" t="s">
        <v>31</v>
      </c>
      <c r="D112" s="168">
        <v>1222.1</v>
      </c>
      <c r="E112" s="158" t="s">
        <v>105</v>
      </c>
      <c r="F112" s="161"/>
    </row>
    <row r="113" spans="1:6" ht="18.75" customHeight="1" thickBot="1">
      <c r="A113" s="170"/>
      <c r="B113" s="177"/>
      <c r="C113" s="167"/>
      <c r="D113" s="160"/>
      <c r="E113" s="160"/>
      <c r="F113" s="163"/>
    </row>
    <row r="114" spans="1:6" ht="18.75" customHeight="1" thickBot="1">
      <c r="A114" s="161">
        <v>55</v>
      </c>
      <c r="B114" s="164" t="s">
        <v>129</v>
      </c>
      <c r="C114" s="164" t="s">
        <v>50</v>
      </c>
      <c r="D114" s="185">
        <v>1423.4</v>
      </c>
      <c r="E114" s="184" t="s">
        <v>105</v>
      </c>
      <c r="F114" s="161"/>
    </row>
    <row r="115" spans="1:6" ht="18.75" customHeight="1" thickBot="1">
      <c r="A115" s="170"/>
      <c r="B115" s="177"/>
      <c r="C115" s="180"/>
      <c r="D115" s="185"/>
      <c r="E115" s="184"/>
      <c r="F115" s="163"/>
    </row>
    <row r="116" spans="1:6" ht="18.75" thickBot="1">
      <c r="A116" s="155" t="s">
        <v>180</v>
      </c>
      <c r="B116" s="178"/>
      <c r="C116" s="178"/>
      <c r="D116" s="178"/>
      <c r="E116" s="178"/>
      <c r="F116" s="179"/>
    </row>
    <row r="117" spans="1:6" ht="33.75" customHeight="1" thickBot="1">
      <c r="A117" s="139">
        <v>56</v>
      </c>
      <c r="B117" s="140" t="s">
        <v>32</v>
      </c>
      <c r="C117" s="140" t="s">
        <v>33</v>
      </c>
      <c r="D117" s="141">
        <v>6</v>
      </c>
      <c r="E117" s="141" t="s">
        <v>113</v>
      </c>
      <c r="F117" s="139"/>
    </row>
    <row r="118" spans="1:6" ht="36.75" customHeight="1" thickBot="1">
      <c r="A118" s="139">
        <v>57</v>
      </c>
      <c r="B118" s="142" t="s">
        <v>34</v>
      </c>
      <c r="C118" s="140" t="s">
        <v>35</v>
      </c>
      <c r="D118" s="141">
        <v>89</v>
      </c>
      <c r="E118" s="141" t="s">
        <v>105</v>
      </c>
      <c r="F118" s="139"/>
    </row>
    <row r="119" spans="1:6" ht="18.75" customHeight="1" thickBot="1">
      <c r="A119" s="161">
        <v>58</v>
      </c>
      <c r="B119" s="191" t="s">
        <v>34</v>
      </c>
      <c r="C119" s="164" t="s">
        <v>51</v>
      </c>
      <c r="D119" s="184">
        <v>55</v>
      </c>
      <c r="E119" s="184" t="s">
        <v>105</v>
      </c>
      <c r="F119" s="161"/>
    </row>
    <row r="120" spans="1:6" ht="18.75" customHeight="1" thickBot="1">
      <c r="A120" s="170"/>
      <c r="B120" s="191"/>
      <c r="C120" s="176"/>
      <c r="D120" s="184"/>
      <c r="E120" s="184"/>
      <c r="F120" s="163"/>
    </row>
    <row r="121" spans="1:6" ht="32.25" thickBot="1">
      <c r="A121" s="139">
        <v>59</v>
      </c>
      <c r="B121" s="142" t="s">
        <v>34</v>
      </c>
      <c r="C121" s="140" t="s">
        <v>33</v>
      </c>
      <c r="D121" s="141">
        <v>1</v>
      </c>
      <c r="E121" s="141" t="s">
        <v>113</v>
      </c>
      <c r="F121" s="139"/>
    </row>
    <row r="122" spans="1:6" ht="18">
      <c r="A122" s="136"/>
      <c r="B122" s="136"/>
      <c r="C122" s="136"/>
      <c r="D122" s="136"/>
      <c r="E122" s="136"/>
      <c r="F122" s="136"/>
    </row>
    <row r="123" spans="1:6" ht="18">
      <c r="A123" s="136"/>
      <c r="B123" s="136"/>
      <c r="C123" s="136"/>
      <c r="D123" s="136"/>
      <c r="E123" s="136"/>
      <c r="F123" s="136"/>
    </row>
    <row r="124" spans="1:6" ht="18.75">
      <c r="A124" s="172" t="s">
        <v>17</v>
      </c>
      <c r="B124" s="173"/>
      <c r="C124" s="173"/>
      <c r="D124" s="173"/>
      <c r="E124" s="173"/>
      <c r="F124" s="173"/>
    </row>
    <row r="125" spans="1:6" ht="18.75" thickBot="1">
      <c r="A125" s="136"/>
      <c r="B125" s="136"/>
      <c r="C125" s="136"/>
      <c r="D125" s="136"/>
      <c r="E125" s="136"/>
      <c r="F125" s="136"/>
    </row>
    <row r="126" spans="1:6" ht="28.5" customHeight="1" thickBot="1">
      <c r="A126" s="174" t="s">
        <v>97</v>
      </c>
      <c r="B126" s="174" t="s">
        <v>98</v>
      </c>
      <c r="C126" s="175" t="s">
        <v>99</v>
      </c>
      <c r="D126" s="175" t="s">
        <v>101</v>
      </c>
      <c r="E126" s="174" t="s">
        <v>212</v>
      </c>
      <c r="F126" s="138"/>
    </row>
    <row r="127" spans="1:6" ht="18.75" thickBot="1">
      <c r="A127" s="174"/>
      <c r="B127" s="174"/>
      <c r="C127" s="175"/>
      <c r="D127" s="174"/>
      <c r="E127" s="174"/>
      <c r="F127" s="137"/>
    </row>
    <row r="128" spans="1:6" ht="18.75" thickBot="1">
      <c r="A128" s="137">
        <v>1</v>
      </c>
      <c r="B128" s="137">
        <v>2</v>
      </c>
      <c r="C128" s="137">
        <v>3</v>
      </c>
      <c r="D128" s="137">
        <v>4</v>
      </c>
      <c r="E128" s="137">
        <v>5</v>
      </c>
      <c r="F128" s="137"/>
    </row>
    <row r="129" spans="1:6" ht="18.75" thickBot="1">
      <c r="A129" s="151" t="s">
        <v>103</v>
      </c>
      <c r="B129" s="152"/>
      <c r="C129" s="171"/>
      <c r="D129" s="152"/>
      <c r="E129" s="152"/>
      <c r="F129" s="154"/>
    </row>
    <row r="130" spans="1:6" ht="18.75" thickBot="1">
      <c r="A130" s="139">
        <v>1</v>
      </c>
      <c r="B130" s="140" t="s">
        <v>104</v>
      </c>
      <c r="C130" s="140" t="s">
        <v>36</v>
      </c>
      <c r="D130" s="141">
        <v>3.13</v>
      </c>
      <c r="E130" s="141" t="s">
        <v>132</v>
      </c>
      <c r="F130" s="139"/>
    </row>
    <row r="131" spans="1:6" ht="18.75" customHeight="1" thickBot="1">
      <c r="A131" s="161">
        <v>2</v>
      </c>
      <c r="B131" s="167" t="s">
        <v>121</v>
      </c>
      <c r="C131" s="164" t="s">
        <v>153</v>
      </c>
      <c r="D131" s="158">
        <v>40.5</v>
      </c>
      <c r="E131" s="184" t="s">
        <v>106</v>
      </c>
      <c r="F131" s="161"/>
    </row>
    <row r="132" spans="1:6" ht="18.75" customHeight="1" thickBot="1">
      <c r="A132" s="163"/>
      <c r="B132" s="167"/>
      <c r="C132" s="180"/>
      <c r="D132" s="188"/>
      <c r="E132" s="184"/>
      <c r="F132" s="163"/>
    </row>
    <row r="133" spans="1:6" ht="18.75" customHeight="1" thickBot="1">
      <c r="A133" s="161">
        <v>3</v>
      </c>
      <c r="B133" s="164" t="s">
        <v>121</v>
      </c>
      <c r="C133" s="164" t="s">
        <v>15</v>
      </c>
      <c r="D133" s="158">
        <v>120</v>
      </c>
      <c r="E133" s="184" t="s">
        <v>106</v>
      </c>
      <c r="F133" s="161"/>
    </row>
    <row r="134" spans="1:6" ht="18.75" customHeight="1" thickBot="1">
      <c r="A134" s="162"/>
      <c r="B134" s="186"/>
      <c r="C134" s="189"/>
      <c r="D134" s="190"/>
      <c r="E134" s="184"/>
      <c r="F134" s="162"/>
    </row>
    <row r="135" spans="1:6" ht="18.75" customHeight="1" thickBot="1">
      <c r="A135" s="163"/>
      <c r="B135" s="180"/>
      <c r="C135" s="176"/>
      <c r="D135" s="188"/>
      <c r="E135" s="184"/>
      <c r="F135" s="163"/>
    </row>
    <row r="136" spans="1:6" ht="48" thickBot="1">
      <c r="A136" s="139">
        <v>4</v>
      </c>
      <c r="B136" s="140" t="s">
        <v>121</v>
      </c>
      <c r="C136" s="145" t="s">
        <v>19</v>
      </c>
      <c r="D136" s="141">
        <v>2</v>
      </c>
      <c r="E136" s="141" t="s">
        <v>113</v>
      </c>
      <c r="F136" s="139"/>
    </row>
    <row r="137" spans="1:6" ht="36.75" customHeight="1" thickBot="1">
      <c r="A137" s="139">
        <v>5</v>
      </c>
      <c r="B137" s="140" t="s">
        <v>121</v>
      </c>
      <c r="C137" s="145" t="s">
        <v>0</v>
      </c>
      <c r="D137" s="141">
        <v>1</v>
      </c>
      <c r="E137" s="141" t="s">
        <v>113</v>
      </c>
      <c r="F137" s="139"/>
    </row>
    <row r="138" spans="1:6" ht="48" thickBot="1">
      <c r="A138" s="139">
        <v>6</v>
      </c>
      <c r="B138" s="140" t="s">
        <v>121</v>
      </c>
      <c r="C138" s="145" t="s">
        <v>1</v>
      </c>
      <c r="D138" s="141">
        <v>2</v>
      </c>
      <c r="E138" s="141" t="s">
        <v>113</v>
      </c>
      <c r="F138" s="139"/>
    </row>
    <row r="139" spans="1:6" ht="48" thickBot="1">
      <c r="A139" s="139">
        <v>7</v>
      </c>
      <c r="B139" s="140" t="s">
        <v>121</v>
      </c>
      <c r="C139" s="145" t="s">
        <v>20</v>
      </c>
      <c r="D139" s="141">
        <v>4</v>
      </c>
      <c r="E139" s="141" t="s">
        <v>113</v>
      </c>
      <c r="F139" s="139"/>
    </row>
    <row r="140" spans="1:6" ht="48" thickBot="1">
      <c r="A140" s="139">
        <v>8</v>
      </c>
      <c r="B140" s="140" t="s">
        <v>121</v>
      </c>
      <c r="C140" s="140" t="s">
        <v>21</v>
      </c>
      <c r="D140" s="141">
        <v>4</v>
      </c>
      <c r="E140" s="141" t="s">
        <v>113</v>
      </c>
      <c r="F140" s="139"/>
    </row>
    <row r="141" spans="1:6" ht="48" thickBot="1">
      <c r="A141" s="139">
        <v>9</v>
      </c>
      <c r="B141" s="140" t="s">
        <v>121</v>
      </c>
      <c r="C141" s="145" t="s">
        <v>22</v>
      </c>
      <c r="D141" s="141">
        <v>3</v>
      </c>
      <c r="E141" s="141" t="s">
        <v>113</v>
      </c>
      <c r="F141" s="139"/>
    </row>
    <row r="142" spans="1:6" ht="48" thickBot="1">
      <c r="A142" s="139">
        <v>10</v>
      </c>
      <c r="B142" s="140" t="s">
        <v>121</v>
      </c>
      <c r="C142" s="140" t="s">
        <v>23</v>
      </c>
      <c r="D142" s="141">
        <v>2</v>
      </c>
      <c r="E142" s="141" t="s">
        <v>113</v>
      </c>
      <c r="F142" s="139"/>
    </row>
    <row r="143" spans="1:6" ht="18.75" customHeight="1" thickBot="1">
      <c r="A143" s="161">
        <v>11</v>
      </c>
      <c r="B143" s="164" t="s">
        <v>121</v>
      </c>
      <c r="C143" s="167" t="s">
        <v>37</v>
      </c>
      <c r="D143" s="158">
        <v>1</v>
      </c>
      <c r="E143" s="205" t="s">
        <v>113</v>
      </c>
      <c r="F143" s="161"/>
    </row>
    <row r="144" spans="1:6" ht="39" customHeight="1" thickBot="1">
      <c r="A144" s="163"/>
      <c r="B144" s="170"/>
      <c r="C144" s="167"/>
      <c r="D144" s="204"/>
      <c r="E144" s="206"/>
      <c r="F144" s="163"/>
    </row>
    <row r="145" spans="1:6" ht="18.75" customHeight="1" thickBot="1">
      <c r="A145" s="161">
        <v>12</v>
      </c>
      <c r="B145" s="164" t="s">
        <v>124</v>
      </c>
      <c r="C145" s="167" t="s">
        <v>38</v>
      </c>
      <c r="D145" s="168">
        <v>6094.6</v>
      </c>
      <c r="E145" s="158" t="s">
        <v>106</v>
      </c>
      <c r="F145" s="161"/>
    </row>
    <row r="146" spans="1:6" ht="30" customHeight="1" thickBot="1">
      <c r="A146" s="163"/>
      <c r="B146" s="166"/>
      <c r="C146" s="167"/>
      <c r="D146" s="160"/>
      <c r="E146" s="160"/>
      <c r="F146" s="163"/>
    </row>
    <row r="147" spans="1:6" ht="18.75" customHeight="1" thickBot="1">
      <c r="A147" s="161">
        <v>13</v>
      </c>
      <c r="B147" s="169" t="s">
        <v>130</v>
      </c>
      <c r="C147" s="167" t="s">
        <v>52</v>
      </c>
      <c r="D147" s="168">
        <v>4964.2</v>
      </c>
      <c r="E147" s="158" t="s">
        <v>106</v>
      </c>
      <c r="F147" s="161"/>
    </row>
    <row r="148" spans="1:6" ht="45.75" customHeight="1" thickBot="1">
      <c r="A148" s="163"/>
      <c r="B148" s="170"/>
      <c r="C148" s="167"/>
      <c r="D148" s="160"/>
      <c r="E148" s="160"/>
      <c r="F148" s="163"/>
    </row>
    <row r="149" spans="1:6" ht="18.75" customHeight="1" thickBot="1">
      <c r="A149" s="161">
        <v>14</v>
      </c>
      <c r="B149" s="164" t="s">
        <v>130</v>
      </c>
      <c r="C149" s="167" t="s">
        <v>53</v>
      </c>
      <c r="D149" s="158">
        <v>188</v>
      </c>
      <c r="E149" s="158" t="s">
        <v>106</v>
      </c>
      <c r="F149" s="161"/>
    </row>
    <row r="150" spans="1:6" ht="18.75" customHeight="1" thickBot="1">
      <c r="A150" s="163"/>
      <c r="B150" s="166"/>
      <c r="C150" s="167"/>
      <c r="D150" s="160"/>
      <c r="E150" s="160"/>
      <c r="F150" s="163"/>
    </row>
    <row r="151" spans="1:6" ht="18.75" customHeight="1" thickBot="1">
      <c r="A151" s="161">
        <v>15</v>
      </c>
      <c r="B151" s="164" t="s">
        <v>130</v>
      </c>
      <c r="C151" s="167" t="s">
        <v>54</v>
      </c>
      <c r="D151" s="168">
        <v>4251.7</v>
      </c>
      <c r="E151" s="158" t="s">
        <v>106</v>
      </c>
      <c r="F151" s="161"/>
    </row>
    <row r="152" spans="1:6" ht="18.75" customHeight="1" thickBot="1">
      <c r="A152" s="162"/>
      <c r="B152" s="165"/>
      <c r="C152" s="167"/>
      <c r="D152" s="159"/>
      <c r="E152" s="159"/>
      <c r="F152" s="162"/>
    </row>
    <row r="153" spans="1:6" ht="32.25" customHeight="1" thickBot="1">
      <c r="A153" s="163"/>
      <c r="B153" s="166"/>
      <c r="C153" s="167"/>
      <c r="D153" s="160"/>
      <c r="E153" s="160"/>
      <c r="F153" s="163"/>
    </row>
    <row r="154" spans="1:6" ht="18.75" customHeight="1" thickBot="1">
      <c r="A154" s="161">
        <v>16</v>
      </c>
      <c r="B154" s="164" t="s">
        <v>130</v>
      </c>
      <c r="C154" s="167" t="s">
        <v>55</v>
      </c>
      <c r="D154" s="158">
        <v>188</v>
      </c>
      <c r="E154" s="158" t="s">
        <v>106</v>
      </c>
      <c r="F154" s="161"/>
    </row>
    <row r="155" spans="1:6" ht="28.5" customHeight="1" thickBot="1">
      <c r="A155" s="163"/>
      <c r="B155" s="166"/>
      <c r="C155" s="167"/>
      <c r="D155" s="160"/>
      <c r="E155" s="207"/>
      <c r="F155" s="163"/>
    </row>
    <row r="156" spans="1:6" ht="51.75" customHeight="1" thickBot="1">
      <c r="A156" s="139">
        <v>17</v>
      </c>
      <c r="B156" s="140" t="s">
        <v>130</v>
      </c>
      <c r="C156" s="140" t="s">
        <v>56</v>
      </c>
      <c r="D156" s="146">
        <v>10994.9</v>
      </c>
      <c r="E156" s="141" t="s">
        <v>106</v>
      </c>
      <c r="F156" s="139"/>
    </row>
    <row r="157" spans="1:6" ht="55.5" customHeight="1" thickBot="1">
      <c r="A157" s="139">
        <v>18</v>
      </c>
      <c r="B157" s="140" t="s">
        <v>130</v>
      </c>
      <c r="C157" s="140" t="s">
        <v>57</v>
      </c>
      <c r="D157" s="146">
        <v>1922.1</v>
      </c>
      <c r="E157" s="141" t="s">
        <v>106</v>
      </c>
      <c r="F157" s="139"/>
    </row>
    <row r="158" spans="1:6" ht="50.25" customHeight="1" thickBot="1">
      <c r="A158" s="139">
        <v>19</v>
      </c>
      <c r="B158" s="140" t="s">
        <v>130</v>
      </c>
      <c r="C158" s="140" t="s">
        <v>58</v>
      </c>
      <c r="D158" s="141">
        <v>432.5</v>
      </c>
      <c r="E158" s="141" t="s">
        <v>106</v>
      </c>
      <c r="F158" s="139"/>
    </row>
    <row r="159" spans="1:6" ht="32.25" thickBot="1">
      <c r="A159" s="139">
        <v>20</v>
      </c>
      <c r="B159" s="140" t="s">
        <v>130</v>
      </c>
      <c r="C159" s="140" t="s">
        <v>24</v>
      </c>
      <c r="D159" s="141">
        <v>217.6</v>
      </c>
      <c r="E159" s="141" t="s">
        <v>106</v>
      </c>
      <c r="F159" s="139"/>
    </row>
    <row r="160" spans="1:6" ht="32.25" thickBot="1">
      <c r="A160" s="139">
        <v>21</v>
      </c>
      <c r="B160" s="140" t="s">
        <v>130</v>
      </c>
      <c r="C160" s="140" t="s">
        <v>25</v>
      </c>
      <c r="D160" s="141">
        <v>624.2</v>
      </c>
      <c r="E160" s="141" t="s">
        <v>106</v>
      </c>
      <c r="F160" s="139"/>
    </row>
    <row r="161" spans="1:6" ht="32.25" thickBot="1">
      <c r="A161" s="139">
        <v>22</v>
      </c>
      <c r="B161" s="140" t="s">
        <v>130</v>
      </c>
      <c r="C161" s="140" t="s">
        <v>26</v>
      </c>
      <c r="D161" s="141">
        <v>48.1</v>
      </c>
      <c r="E161" s="141" t="s">
        <v>106</v>
      </c>
      <c r="F161" s="139"/>
    </row>
    <row r="162" spans="1:6" ht="55.5" customHeight="1" thickBot="1">
      <c r="A162" s="139">
        <v>23</v>
      </c>
      <c r="B162" s="140" t="s">
        <v>130</v>
      </c>
      <c r="C162" s="140" t="s">
        <v>59</v>
      </c>
      <c r="D162" s="141">
        <v>221.75</v>
      </c>
      <c r="E162" s="141" t="s">
        <v>106</v>
      </c>
      <c r="F162" s="139"/>
    </row>
    <row r="163" spans="1:6" ht="19.5" customHeight="1" thickBot="1">
      <c r="A163" s="139">
        <v>24</v>
      </c>
      <c r="B163" s="140" t="s">
        <v>130</v>
      </c>
      <c r="C163" s="140" t="s">
        <v>60</v>
      </c>
      <c r="D163" s="141">
        <v>115.7</v>
      </c>
      <c r="E163" s="141" t="s">
        <v>106</v>
      </c>
      <c r="F163" s="139"/>
    </row>
    <row r="164" spans="1:6" ht="51" customHeight="1" thickBot="1">
      <c r="A164" s="139">
        <v>25</v>
      </c>
      <c r="B164" s="140" t="s">
        <v>130</v>
      </c>
      <c r="C164" s="140" t="s">
        <v>61</v>
      </c>
      <c r="D164" s="146">
        <v>1070.4</v>
      </c>
      <c r="E164" s="141" t="s">
        <v>105</v>
      </c>
      <c r="F164" s="139"/>
    </row>
    <row r="165" spans="1:6" ht="32.25" thickBot="1">
      <c r="A165" s="139">
        <v>26</v>
      </c>
      <c r="B165" s="140" t="s">
        <v>130</v>
      </c>
      <c r="C165" s="140" t="s">
        <v>62</v>
      </c>
      <c r="D165" s="146">
        <v>4919.2</v>
      </c>
      <c r="E165" s="141" t="s">
        <v>105</v>
      </c>
      <c r="F165" s="139"/>
    </row>
    <row r="166" spans="1:6" ht="51.75" customHeight="1" thickBot="1">
      <c r="A166" s="139">
        <v>27</v>
      </c>
      <c r="B166" s="140" t="s">
        <v>130</v>
      </c>
      <c r="C166" s="140" t="s">
        <v>63</v>
      </c>
      <c r="D166" s="141">
        <v>215.2</v>
      </c>
      <c r="E166" s="141" t="s">
        <v>105</v>
      </c>
      <c r="F166" s="139"/>
    </row>
    <row r="167" spans="1:6" ht="52.5" customHeight="1" thickBot="1">
      <c r="A167" s="139">
        <v>28</v>
      </c>
      <c r="B167" s="140" t="s">
        <v>130</v>
      </c>
      <c r="C167" s="140" t="s">
        <v>67</v>
      </c>
      <c r="D167" s="146">
        <v>5152.4</v>
      </c>
      <c r="E167" s="141" t="s">
        <v>105</v>
      </c>
      <c r="F167" s="139"/>
    </row>
    <row r="168" spans="1:6" ht="18.75" thickBot="1">
      <c r="A168" s="151" t="s">
        <v>108</v>
      </c>
      <c r="B168" s="152"/>
      <c r="C168" s="153"/>
      <c r="D168" s="152"/>
      <c r="E168" s="152"/>
      <c r="F168" s="154"/>
    </row>
    <row r="169" spans="1:6" ht="19.5" customHeight="1" thickBot="1">
      <c r="A169" s="139">
        <v>29</v>
      </c>
      <c r="B169" s="140" t="s">
        <v>125</v>
      </c>
      <c r="C169" s="140" t="s">
        <v>68</v>
      </c>
      <c r="D169" s="146">
        <v>1585.6</v>
      </c>
      <c r="E169" s="141" t="s">
        <v>109</v>
      </c>
      <c r="F169" s="139"/>
    </row>
    <row r="170" spans="1:6" ht="18.75" thickBot="1">
      <c r="A170" s="151" t="s">
        <v>123</v>
      </c>
      <c r="B170" s="152"/>
      <c r="C170" s="153"/>
      <c r="D170" s="152"/>
      <c r="E170" s="152"/>
      <c r="F170" s="154"/>
    </row>
    <row r="171" spans="1:6" ht="42" customHeight="1" thickBot="1">
      <c r="A171" s="139">
        <v>30</v>
      </c>
      <c r="B171" s="140" t="s">
        <v>133</v>
      </c>
      <c r="C171" s="140" t="s">
        <v>66</v>
      </c>
      <c r="D171" s="141">
        <v>53</v>
      </c>
      <c r="E171" s="141" t="s">
        <v>135</v>
      </c>
      <c r="F171" s="139"/>
    </row>
    <row r="172" spans="1:6" ht="37.5" customHeight="1" thickBot="1">
      <c r="A172" s="139">
        <v>31</v>
      </c>
      <c r="B172" s="140" t="s">
        <v>133</v>
      </c>
      <c r="C172" s="140" t="s">
        <v>235</v>
      </c>
      <c r="D172" s="141">
        <v>33.92</v>
      </c>
      <c r="E172" s="141" t="s">
        <v>109</v>
      </c>
      <c r="F172" s="139"/>
    </row>
    <row r="173" spans="1:6" ht="50.25" customHeight="1" thickBot="1">
      <c r="A173" s="139">
        <v>32</v>
      </c>
      <c r="B173" s="140" t="s">
        <v>133</v>
      </c>
      <c r="C173" s="140" t="s">
        <v>9</v>
      </c>
      <c r="D173" s="141">
        <v>106</v>
      </c>
      <c r="E173" s="141" t="s">
        <v>109</v>
      </c>
      <c r="F173" s="139"/>
    </row>
    <row r="174" spans="1:6" ht="48.75" customHeight="1" thickBot="1">
      <c r="A174" s="139">
        <v>33</v>
      </c>
      <c r="B174" s="140" t="s">
        <v>133</v>
      </c>
      <c r="C174" s="140" t="s">
        <v>236</v>
      </c>
      <c r="D174" s="141">
        <v>318</v>
      </c>
      <c r="E174" s="141" t="s">
        <v>106</v>
      </c>
      <c r="F174" s="139"/>
    </row>
    <row r="175" spans="1:6" ht="39" customHeight="1" thickBot="1">
      <c r="A175" s="139">
        <v>34</v>
      </c>
      <c r="B175" s="140" t="s">
        <v>133</v>
      </c>
      <c r="C175" s="140" t="s">
        <v>136</v>
      </c>
      <c r="D175" s="141">
        <v>106</v>
      </c>
      <c r="E175" s="141" t="s">
        <v>109</v>
      </c>
      <c r="F175" s="139"/>
    </row>
    <row r="176" spans="1:6" ht="24" customHeight="1" thickBot="1">
      <c r="A176" s="139">
        <v>35</v>
      </c>
      <c r="B176" s="140" t="s">
        <v>133</v>
      </c>
      <c r="C176" s="140" t="s">
        <v>137</v>
      </c>
      <c r="D176" s="141">
        <v>157.41</v>
      </c>
      <c r="E176" s="141" t="s">
        <v>106</v>
      </c>
      <c r="F176" s="139"/>
    </row>
    <row r="177" spans="1:6" ht="62.25" customHeight="1" thickBot="1">
      <c r="A177" s="139">
        <v>36</v>
      </c>
      <c r="B177" s="140" t="s">
        <v>133</v>
      </c>
      <c r="C177" s="140" t="s">
        <v>69</v>
      </c>
      <c r="D177" s="141">
        <v>53</v>
      </c>
      <c r="E177" s="141" t="s">
        <v>113</v>
      </c>
      <c r="F177" s="139"/>
    </row>
    <row r="178" spans="1:6" ht="52.5" customHeight="1" thickBot="1">
      <c r="A178" s="139">
        <v>37</v>
      </c>
      <c r="B178" s="140" t="s">
        <v>133</v>
      </c>
      <c r="C178" s="140" t="s">
        <v>10</v>
      </c>
      <c r="D178" s="141">
        <v>660.91</v>
      </c>
      <c r="E178" s="141" t="s">
        <v>106</v>
      </c>
      <c r="F178" s="139"/>
    </row>
    <row r="179" spans="1:6" ht="32.25" thickBot="1">
      <c r="A179" s="139">
        <v>38</v>
      </c>
      <c r="B179" s="140" t="s">
        <v>138</v>
      </c>
      <c r="C179" s="140" t="s">
        <v>11</v>
      </c>
      <c r="D179" s="141">
        <v>35</v>
      </c>
      <c r="E179" s="141" t="s">
        <v>135</v>
      </c>
      <c r="F179" s="139"/>
    </row>
    <row r="180" spans="1:6" ht="18.75" thickBot="1">
      <c r="A180" s="139">
        <v>39</v>
      </c>
      <c r="B180" s="140" t="s">
        <v>138</v>
      </c>
      <c r="C180" s="140" t="s">
        <v>39</v>
      </c>
      <c r="D180" s="141">
        <v>13</v>
      </c>
      <c r="E180" s="141" t="s">
        <v>135</v>
      </c>
      <c r="F180" s="139"/>
    </row>
    <row r="181" spans="1:6" ht="18.75" thickBot="1">
      <c r="A181" s="139">
        <v>40</v>
      </c>
      <c r="B181" s="140" t="s">
        <v>138</v>
      </c>
      <c r="C181" s="140" t="s">
        <v>40</v>
      </c>
      <c r="D181" s="141">
        <v>39</v>
      </c>
      <c r="E181" s="141" t="s">
        <v>135</v>
      </c>
      <c r="F181" s="139"/>
    </row>
    <row r="182" spans="1:6" ht="18.75" thickBot="1">
      <c r="A182" s="139">
        <v>41</v>
      </c>
      <c r="B182" s="140" t="s">
        <v>138</v>
      </c>
      <c r="C182" s="140" t="s">
        <v>41</v>
      </c>
      <c r="D182" s="141">
        <v>69</v>
      </c>
      <c r="E182" s="141" t="s">
        <v>135</v>
      </c>
      <c r="F182" s="139"/>
    </row>
    <row r="183" spans="1:6" ht="18.75" thickBot="1">
      <c r="A183" s="139">
        <v>42</v>
      </c>
      <c r="B183" s="140" t="s">
        <v>138</v>
      </c>
      <c r="C183" s="140" t="s">
        <v>42</v>
      </c>
      <c r="D183" s="141">
        <v>57</v>
      </c>
      <c r="E183" s="141" t="s">
        <v>135</v>
      </c>
      <c r="F183" s="139"/>
    </row>
    <row r="184" spans="1:6" ht="18.75" thickBot="1">
      <c r="A184" s="139">
        <v>43</v>
      </c>
      <c r="B184" s="140" t="s">
        <v>138</v>
      </c>
      <c r="C184" s="140" t="s">
        <v>237</v>
      </c>
      <c r="D184" s="141">
        <v>115</v>
      </c>
      <c r="E184" s="141" t="s">
        <v>135</v>
      </c>
      <c r="F184" s="139"/>
    </row>
    <row r="185" spans="1:6" ht="18.75" thickBot="1">
      <c r="A185" s="139">
        <v>44</v>
      </c>
      <c r="B185" s="140" t="s">
        <v>138</v>
      </c>
      <c r="C185" s="140" t="s">
        <v>43</v>
      </c>
      <c r="D185" s="141">
        <v>65</v>
      </c>
      <c r="E185" s="141" t="s">
        <v>135</v>
      </c>
      <c r="F185" s="139"/>
    </row>
    <row r="186" spans="1:6" ht="18.75" thickBot="1">
      <c r="A186" s="139">
        <v>45</v>
      </c>
      <c r="B186" s="140" t="s">
        <v>138</v>
      </c>
      <c r="C186" s="140" t="s">
        <v>44</v>
      </c>
      <c r="D186" s="141">
        <v>20</v>
      </c>
      <c r="E186" s="141" t="s">
        <v>135</v>
      </c>
      <c r="F186" s="139"/>
    </row>
    <row r="187" spans="1:6" ht="18.75" thickBot="1">
      <c r="A187" s="151" t="s">
        <v>111</v>
      </c>
      <c r="B187" s="152"/>
      <c r="C187" s="153"/>
      <c r="D187" s="152"/>
      <c r="E187" s="152"/>
      <c r="F187" s="154"/>
    </row>
    <row r="188" spans="1:6" ht="54" customHeight="1" thickBot="1">
      <c r="A188" s="139">
        <v>46</v>
      </c>
      <c r="B188" s="140" t="s">
        <v>112</v>
      </c>
      <c r="C188" s="140" t="s">
        <v>70</v>
      </c>
      <c r="D188" s="146">
        <v>2267.3</v>
      </c>
      <c r="E188" s="141" t="s">
        <v>106</v>
      </c>
      <c r="F188" s="139"/>
    </row>
    <row r="189" spans="1:6" ht="64.5" customHeight="1" thickBot="1">
      <c r="A189" s="139">
        <v>47</v>
      </c>
      <c r="B189" s="140" t="s">
        <v>112</v>
      </c>
      <c r="C189" s="140" t="s">
        <v>284</v>
      </c>
      <c r="D189" s="146">
        <v>1386.93</v>
      </c>
      <c r="E189" s="141" t="s">
        <v>106</v>
      </c>
      <c r="F189" s="139"/>
    </row>
    <row r="190" spans="1:6" ht="21.75" customHeight="1" thickBot="1">
      <c r="A190" s="139">
        <v>48</v>
      </c>
      <c r="B190" s="140" t="s">
        <v>112</v>
      </c>
      <c r="C190" s="140" t="s">
        <v>45</v>
      </c>
      <c r="D190" s="146">
        <v>4404.28</v>
      </c>
      <c r="E190" s="141" t="s">
        <v>106</v>
      </c>
      <c r="F190" s="139"/>
    </row>
    <row r="191" spans="1:6" ht="51.75" customHeight="1" thickBot="1">
      <c r="A191" s="139">
        <v>49</v>
      </c>
      <c r="B191" s="140" t="s">
        <v>127</v>
      </c>
      <c r="C191" s="140" t="s">
        <v>71</v>
      </c>
      <c r="D191" s="146">
        <v>8677.9</v>
      </c>
      <c r="E191" s="141" t="s">
        <v>106</v>
      </c>
      <c r="F191" s="139"/>
    </row>
    <row r="192" spans="1:6" ht="51" customHeight="1" thickBot="1">
      <c r="A192" s="139">
        <v>50</v>
      </c>
      <c r="B192" s="140" t="s">
        <v>127</v>
      </c>
      <c r="C192" s="140" t="s">
        <v>72</v>
      </c>
      <c r="D192" s="146">
        <v>2367.75</v>
      </c>
      <c r="E192" s="141" t="s">
        <v>106</v>
      </c>
      <c r="F192" s="139"/>
    </row>
    <row r="193" spans="1:6" ht="66" customHeight="1" thickBot="1">
      <c r="A193" s="139">
        <v>51</v>
      </c>
      <c r="B193" s="140" t="s">
        <v>127</v>
      </c>
      <c r="C193" s="140" t="s">
        <v>73</v>
      </c>
      <c r="D193" s="146">
        <v>1148.78</v>
      </c>
      <c r="E193" s="141" t="s">
        <v>106</v>
      </c>
      <c r="F193" s="139"/>
    </row>
    <row r="194" spans="1:6" ht="32.25" thickBot="1">
      <c r="A194" s="139">
        <v>52</v>
      </c>
      <c r="B194" s="140" t="s">
        <v>131</v>
      </c>
      <c r="C194" s="140" t="s">
        <v>184</v>
      </c>
      <c r="D194" s="141">
        <v>342</v>
      </c>
      <c r="E194" s="141" t="s">
        <v>106</v>
      </c>
      <c r="F194" s="139"/>
    </row>
    <row r="195" spans="1:6" ht="18.75" thickBot="1">
      <c r="A195" s="151" t="s">
        <v>115</v>
      </c>
      <c r="B195" s="152"/>
      <c r="C195" s="153"/>
      <c r="D195" s="152"/>
      <c r="E195" s="152"/>
      <c r="F195" s="154"/>
    </row>
    <row r="196" spans="1:6" ht="34.5" customHeight="1" thickBot="1">
      <c r="A196" s="139">
        <v>53</v>
      </c>
      <c r="B196" s="140" t="s">
        <v>140</v>
      </c>
      <c r="C196" s="140" t="s">
        <v>285</v>
      </c>
      <c r="D196" s="141">
        <v>342</v>
      </c>
      <c r="E196" s="141" t="s">
        <v>106</v>
      </c>
      <c r="F196" s="139"/>
    </row>
    <row r="197" spans="1:6" ht="32.25" thickBot="1">
      <c r="A197" s="139">
        <v>54</v>
      </c>
      <c r="B197" s="140" t="s">
        <v>141</v>
      </c>
      <c r="C197" s="140" t="s">
        <v>74</v>
      </c>
      <c r="D197" s="146">
        <v>1102.38</v>
      </c>
      <c r="E197" s="141" t="s">
        <v>106</v>
      </c>
      <c r="F197" s="139"/>
    </row>
    <row r="198" spans="1:6" ht="42" customHeight="1" thickBot="1">
      <c r="A198" s="139">
        <v>55</v>
      </c>
      <c r="B198" s="140" t="s">
        <v>141</v>
      </c>
      <c r="C198" s="140" t="s">
        <v>286</v>
      </c>
      <c r="D198" s="146">
        <v>1250.54</v>
      </c>
      <c r="E198" s="141" t="s">
        <v>178</v>
      </c>
      <c r="F198" s="139"/>
    </row>
    <row r="199" spans="1:6" ht="32.25" thickBot="1">
      <c r="A199" s="139">
        <v>56</v>
      </c>
      <c r="B199" s="140" t="s">
        <v>139</v>
      </c>
      <c r="C199" s="140" t="s">
        <v>75</v>
      </c>
      <c r="D199" s="146">
        <v>19432.05</v>
      </c>
      <c r="E199" s="141" t="s">
        <v>106</v>
      </c>
      <c r="F199" s="139"/>
    </row>
    <row r="200" spans="1:6" ht="32.25" thickBot="1">
      <c r="A200" s="139">
        <v>57</v>
      </c>
      <c r="B200" s="140" t="s">
        <v>139</v>
      </c>
      <c r="C200" s="140" t="s">
        <v>76</v>
      </c>
      <c r="D200" s="146">
        <v>1683</v>
      </c>
      <c r="E200" s="141" t="s">
        <v>106</v>
      </c>
      <c r="F200" s="139"/>
    </row>
    <row r="201" spans="1:6" ht="32.25" thickBot="1">
      <c r="A201" s="139">
        <v>58</v>
      </c>
      <c r="B201" s="140" t="s">
        <v>139</v>
      </c>
      <c r="C201" s="140" t="s">
        <v>77</v>
      </c>
      <c r="D201" s="146">
        <v>7748.95</v>
      </c>
      <c r="E201" s="141" t="s">
        <v>106</v>
      </c>
      <c r="F201" s="139"/>
    </row>
    <row r="202" spans="1:6" ht="32.25" thickBot="1">
      <c r="A202" s="139">
        <v>59</v>
      </c>
      <c r="B202" s="140" t="s">
        <v>128</v>
      </c>
      <c r="C202" s="140" t="s">
        <v>287</v>
      </c>
      <c r="D202" s="141">
        <v>584.3</v>
      </c>
      <c r="E202" s="141" t="s">
        <v>106</v>
      </c>
      <c r="F202" s="139"/>
    </row>
    <row r="203" spans="1:6" ht="32.25" thickBot="1">
      <c r="A203" s="139">
        <v>60</v>
      </c>
      <c r="B203" s="140" t="s">
        <v>128</v>
      </c>
      <c r="C203" s="140" t="s">
        <v>288</v>
      </c>
      <c r="D203" s="146">
        <v>6814.05</v>
      </c>
      <c r="E203" s="141" t="s">
        <v>106</v>
      </c>
      <c r="F203" s="139"/>
    </row>
    <row r="204" spans="1:6" ht="32.25" thickBot="1">
      <c r="A204" s="139">
        <v>61</v>
      </c>
      <c r="B204" s="140" t="s">
        <v>128</v>
      </c>
      <c r="C204" s="140" t="s">
        <v>78</v>
      </c>
      <c r="D204" s="141">
        <v>654.35</v>
      </c>
      <c r="E204" s="141" t="s">
        <v>106</v>
      </c>
      <c r="F204" s="139"/>
    </row>
    <row r="205" spans="1:6" ht="54.75" customHeight="1" thickBot="1">
      <c r="A205" s="139">
        <v>62</v>
      </c>
      <c r="B205" s="140" t="s">
        <v>128</v>
      </c>
      <c r="C205" s="140" t="s">
        <v>79</v>
      </c>
      <c r="D205" s="141">
        <v>928.95</v>
      </c>
      <c r="E205" s="141" t="s">
        <v>106</v>
      </c>
      <c r="F205" s="139"/>
    </row>
    <row r="206" spans="1:6" ht="32.25" thickBot="1">
      <c r="A206" s="139">
        <v>63</v>
      </c>
      <c r="B206" s="140" t="s">
        <v>157</v>
      </c>
      <c r="C206" s="140" t="s">
        <v>289</v>
      </c>
      <c r="D206" s="141">
        <v>560.45</v>
      </c>
      <c r="E206" s="141" t="s">
        <v>106</v>
      </c>
      <c r="F206" s="139"/>
    </row>
    <row r="207" spans="1:6" ht="18.75" thickBot="1">
      <c r="A207" s="151" t="s">
        <v>119</v>
      </c>
      <c r="B207" s="152"/>
      <c r="C207" s="153"/>
      <c r="D207" s="152"/>
      <c r="E207" s="152"/>
      <c r="F207" s="154"/>
    </row>
    <row r="208" spans="1:6" ht="18.75" thickBot="1">
      <c r="A208" s="139">
        <v>64</v>
      </c>
      <c r="B208" s="140" t="s">
        <v>122</v>
      </c>
      <c r="C208" s="140" t="s">
        <v>48</v>
      </c>
      <c r="D208" s="146">
        <v>9041.9</v>
      </c>
      <c r="E208" s="141" t="s">
        <v>106</v>
      </c>
      <c r="F208" s="139"/>
    </row>
    <row r="209" spans="1:6" ht="18.75" thickBot="1">
      <c r="A209" s="151" t="s">
        <v>163</v>
      </c>
      <c r="B209" s="152"/>
      <c r="C209" s="153"/>
      <c r="D209" s="152"/>
      <c r="E209" s="152"/>
      <c r="F209" s="154"/>
    </row>
    <row r="210" spans="1:6" ht="18.75" thickBot="1">
      <c r="A210" s="139">
        <v>65</v>
      </c>
      <c r="B210" s="140" t="s">
        <v>164</v>
      </c>
      <c r="C210" s="140" t="s">
        <v>81</v>
      </c>
      <c r="D210" s="141">
        <v>547.3</v>
      </c>
      <c r="E210" s="141" t="s">
        <v>106</v>
      </c>
      <c r="F210" s="139"/>
    </row>
    <row r="211" spans="1:6" ht="18.75" thickBot="1">
      <c r="A211" s="139">
        <v>66</v>
      </c>
      <c r="B211" s="140" t="s">
        <v>164</v>
      </c>
      <c r="C211" s="140" t="s">
        <v>82</v>
      </c>
      <c r="D211" s="141">
        <v>67.3</v>
      </c>
      <c r="E211" s="141" t="s">
        <v>106</v>
      </c>
      <c r="F211" s="139"/>
    </row>
    <row r="212" spans="1:6" ht="32.25" thickBot="1">
      <c r="A212" s="139">
        <v>67</v>
      </c>
      <c r="B212" s="140" t="s">
        <v>164</v>
      </c>
      <c r="C212" s="140" t="s">
        <v>290</v>
      </c>
      <c r="D212" s="141">
        <v>679.35</v>
      </c>
      <c r="E212" s="141" t="s">
        <v>106</v>
      </c>
      <c r="F212" s="139"/>
    </row>
    <row r="213" spans="1:6" ht="18.75" thickBot="1">
      <c r="A213" s="139">
        <v>68</v>
      </c>
      <c r="B213" s="140" t="s">
        <v>164</v>
      </c>
      <c r="C213" s="140" t="s">
        <v>176</v>
      </c>
      <c r="D213" s="141">
        <v>159.1</v>
      </c>
      <c r="E213" s="141" t="s">
        <v>106</v>
      </c>
      <c r="F213" s="139"/>
    </row>
    <row r="214" spans="1:6" ht="18.75" thickBot="1">
      <c r="A214" s="139">
        <v>69</v>
      </c>
      <c r="B214" s="140" t="s">
        <v>165</v>
      </c>
      <c r="C214" s="140" t="s">
        <v>83</v>
      </c>
      <c r="D214" s="141">
        <v>159</v>
      </c>
      <c r="E214" s="141" t="s">
        <v>113</v>
      </c>
      <c r="F214" s="139"/>
    </row>
    <row r="215" spans="1:6" ht="18.75" thickBot="1">
      <c r="A215" s="139">
        <v>70</v>
      </c>
      <c r="B215" s="140" t="s">
        <v>165</v>
      </c>
      <c r="C215" s="140" t="s">
        <v>84</v>
      </c>
      <c r="D215" s="141">
        <v>119</v>
      </c>
      <c r="E215" s="141" t="s">
        <v>113</v>
      </c>
      <c r="F215" s="139"/>
    </row>
    <row r="216" spans="1:6" ht="18.75" thickBot="1">
      <c r="A216" s="139">
        <v>71</v>
      </c>
      <c r="B216" s="140" t="s">
        <v>165</v>
      </c>
      <c r="C216" s="140" t="s">
        <v>85</v>
      </c>
      <c r="D216" s="141">
        <v>45</v>
      </c>
      <c r="E216" s="141" t="s">
        <v>113</v>
      </c>
      <c r="F216" s="139"/>
    </row>
    <row r="217" spans="1:6" ht="18.75" thickBot="1">
      <c r="A217" s="139">
        <v>72</v>
      </c>
      <c r="B217" s="140" t="s">
        <v>165</v>
      </c>
      <c r="C217" s="140" t="s">
        <v>86</v>
      </c>
      <c r="D217" s="141">
        <v>39</v>
      </c>
      <c r="E217" s="141" t="s">
        <v>113</v>
      </c>
      <c r="F217" s="139"/>
    </row>
    <row r="218" spans="1:6" ht="18.75" thickBot="1">
      <c r="A218" s="139">
        <v>73</v>
      </c>
      <c r="B218" s="140" t="s">
        <v>165</v>
      </c>
      <c r="C218" s="140" t="s">
        <v>87</v>
      </c>
      <c r="D218" s="141">
        <v>35</v>
      </c>
      <c r="E218" s="141" t="s">
        <v>113</v>
      </c>
      <c r="F218" s="139"/>
    </row>
    <row r="219" spans="1:6" ht="18.75" thickBot="1">
      <c r="A219" s="139">
        <v>74</v>
      </c>
      <c r="B219" s="140" t="s">
        <v>165</v>
      </c>
      <c r="C219" s="140" t="s">
        <v>88</v>
      </c>
      <c r="D219" s="141">
        <v>21</v>
      </c>
      <c r="E219" s="141" t="s">
        <v>113</v>
      </c>
      <c r="F219" s="139"/>
    </row>
    <row r="220" spans="1:6" ht="32.25" thickBot="1">
      <c r="A220" s="139">
        <v>75</v>
      </c>
      <c r="B220" s="140" t="s">
        <v>169</v>
      </c>
      <c r="C220" s="140" t="s">
        <v>89</v>
      </c>
      <c r="D220" s="146">
        <v>1207</v>
      </c>
      <c r="E220" s="141" t="s">
        <v>105</v>
      </c>
      <c r="F220" s="139"/>
    </row>
    <row r="221" spans="1:6" ht="18.75" thickBot="1">
      <c r="A221" s="151" t="s">
        <v>117</v>
      </c>
      <c r="B221" s="152"/>
      <c r="C221" s="153"/>
      <c r="D221" s="152"/>
      <c r="E221" s="152"/>
      <c r="F221" s="154"/>
    </row>
    <row r="222" spans="1:6" ht="42.75" customHeight="1" thickBot="1">
      <c r="A222" s="139">
        <v>76</v>
      </c>
      <c r="B222" s="140" t="s">
        <v>118</v>
      </c>
      <c r="C222" s="145" t="s">
        <v>29</v>
      </c>
      <c r="D222" s="146">
        <v>1908.7</v>
      </c>
      <c r="E222" s="141" t="s">
        <v>105</v>
      </c>
      <c r="F222" s="139"/>
    </row>
    <row r="223" spans="1:6" ht="50.25" customHeight="1" thickBot="1">
      <c r="A223" s="139">
        <v>77</v>
      </c>
      <c r="B223" s="140" t="s">
        <v>118</v>
      </c>
      <c r="C223" s="140" t="s">
        <v>90</v>
      </c>
      <c r="D223" s="141">
        <v>365.5</v>
      </c>
      <c r="E223" s="141" t="s">
        <v>105</v>
      </c>
      <c r="F223" s="139"/>
    </row>
    <row r="224" spans="1:6" ht="47.25" customHeight="1" thickBot="1">
      <c r="A224" s="139">
        <v>78</v>
      </c>
      <c r="B224" s="140" t="s">
        <v>142</v>
      </c>
      <c r="C224" s="140" t="s">
        <v>91</v>
      </c>
      <c r="D224" s="146">
        <v>4526.1</v>
      </c>
      <c r="E224" s="141" t="s">
        <v>105</v>
      </c>
      <c r="F224" s="139"/>
    </row>
    <row r="225" spans="1:6" ht="31.5" customHeight="1" thickBot="1">
      <c r="A225" s="139">
        <v>79</v>
      </c>
      <c r="B225" s="140" t="s">
        <v>129</v>
      </c>
      <c r="C225" s="140" t="s">
        <v>50</v>
      </c>
      <c r="D225" s="146">
        <v>9230.4</v>
      </c>
      <c r="E225" s="141" t="s">
        <v>105</v>
      </c>
      <c r="F225" s="139"/>
    </row>
    <row r="226" spans="1:6" ht="18.75" thickBot="1">
      <c r="A226" s="155" t="s">
        <v>92</v>
      </c>
      <c r="B226" s="156"/>
      <c r="C226" s="156"/>
      <c r="D226" s="156"/>
      <c r="E226" s="156"/>
      <c r="F226" s="157"/>
    </row>
    <row r="227" spans="1:6" ht="32.25" thickBot="1">
      <c r="A227" s="139">
        <v>80</v>
      </c>
      <c r="B227" s="142" t="s">
        <v>34</v>
      </c>
      <c r="C227" s="140" t="s">
        <v>93</v>
      </c>
      <c r="D227" s="141">
        <v>10</v>
      </c>
      <c r="E227" s="141" t="s">
        <v>105</v>
      </c>
      <c r="F227" s="139"/>
    </row>
    <row r="228" spans="1:6" ht="32.25" thickBot="1">
      <c r="A228" s="139">
        <v>81</v>
      </c>
      <c r="B228" s="142" t="s">
        <v>34</v>
      </c>
      <c r="C228" s="140" t="s">
        <v>291</v>
      </c>
      <c r="D228" s="141">
        <v>55</v>
      </c>
      <c r="E228" s="141" t="s">
        <v>105</v>
      </c>
      <c r="F228" s="139"/>
    </row>
    <row r="229" spans="1:6" ht="32.25" thickBot="1">
      <c r="A229" s="139">
        <v>82</v>
      </c>
      <c r="B229" s="142" t="s">
        <v>34</v>
      </c>
      <c r="C229" s="140" t="s">
        <v>33</v>
      </c>
      <c r="D229" s="141">
        <v>1</v>
      </c>
      <c r="E229" s="141" t="s">
        <v>113</v>
      </c>
      <c r="F229" s="139"/>
    </row>
    <row r="230" spans="1:6" ht="18">
      <c r="A230" s="136"/>
      <c r="B230" s="136"/>
      <c r="C230" s="136"/>
      <c r="D230" s="136"/>
      <c r="E230" s="136"/>
      <c r="F230" s="136"/>
    </row>
    <row r="231" spans="1:6" ht="18">
      <c r="A231" s="136"/>
      <c r="B231" s="136"/>
      <c r="C231" s="136"/>
      <c r="D231" s="136"/>
      <c r="E231" s="136"/>
      <c r="F231" s="136"/>
    </row>
    <row r="232" spans="1:6" ht="18.75">
      <c r="A232" s="172" t="s">
        <v>18</v>
      </c>
      <c r="B232" s="173"/>
      <c r="C232" s="173"/>
      <c r="D232" s="173"/>
      <c r="E232" s="173"/>
      <c r="F232" s="173"/>
    </row>
    <row r="233" spans="1:6" ht="18.75" thickBot="1">
      <c r="A233" s="136"/>
      <c r="B233" s="136"/>
      <c r="C233" s="136"/>
      <c r="D233" s="136"/>
      <c r="E233" s="136"/>
      <c r="F233" s="136"/>
    </row>
    <row r="234" spans="1:6" ht="18.75" thickBot="1">
      <c r="A234" s="174" t="s">
        <v>97</v>
      </c>
      <c r="B234" s="174" t="s">
        <v>98</v>
      </c>
      <c r="C234" s="175" t="s">
        <v>99</v>
      </c>
      <c r="D234" s="175" t="s">
        <v>101</v>
      </c>
      <c r="E234" s="174" t="s">
        <v>212</v>
      </c>
      <c r="F234" s="138"/>
    </row>
    <row r="235" spans="1:6" ht="18.75" thickBot="1">
      <c r="A235" s="174"/>
      <c r="B235" s="174"/>
      <c r="C235" s="175"/>
      <c r="D235" s="174"/>
      <c r="E235" s="174"/>
      <c r="F235" s="137"/>
    </row>
    <row r="236" spans="1:6" ht="18.75" thickBot="1">
      <c r="A236" s="137">
        <v>1</v>
      </c>
      <c r="B236" s="137">
        <v>2</v>
      </c>
      <c r="C236" s="137">
        <v>3</v>
      </c>
      <c r="D236" s="137">
        <v>4</v>
      </c>
      <c r="E236" s="137">
        <v>5</v>
      </c>
      <c r="F236" s="137"/>
    </row>
    <row r="237" spans="1:6" ht="18.75" thickBot="1">
      <c r="A237" s="151" t="s">
        <v>103</v>
      </c>
      <c r="B237" s="152"/>
      <c r="C237" s="171"/>
      <c r="D237" s="152"/>
      <c r="E237" s="152"/>
      <c r="F237" s="154"/>
    </row>
    <row r="238" spans="1:6" ht="18.75" thickBot="1">
      <c r="A238" s="139">
        <v>1</v>
      </c>
      <c r="B238" s="140" t="s">
        <v>104</v>
      </c>
      <c r="C238" s="140" t="s">
        <v>36</v>
      </c>
      <c r="D238" s="141">
        <v>1.66</v>
      </c>
      <c r="E238" s="141" t="s">
        <v>132</v>
      </c>
      <c r="F238" s="139"/>
    </row>
    <row r="239" spans="1:6" ht="48" thickBot="1">
      <c r="A239" s="139">
        <v>2</v>
      </c>
      <c r="B239" s="140" t="s">
        <v>121</v>
      </c>
      <c r="C239" s="145" t="s">
        <v>1</v>
      </c>
      <c r="D239" s="141">
        <v>1</v>
      </c>
      <c r="E239" s="141" t="s">
        <v>113</v>
      </c>
      <c r="F239" s="139"/>
    </row>
    <row r="240" spans="1:6" ht="48" thickBot="1">
      <c r="A240" s="139">
        <v>3</v>
      </c>
      <c r="B240" s="140" t="s">
        <v>121</v>
      </c>
      <c r="C240" s="145" t="s">
        <v>22</v>
      </c>
      <c r="D240" s="141">
        <v>2</v>
      </c>
      <c r="E240" s="141" t="s">
        <v>113</v>
      </c>
      <c r="F240" s="139"/>
    </row>
    <row r="241" spans="1:6" ht="18.75" customHeight="1" thickBot="1">
      <c r="A241" s="161">
        <v>4</v>
      </c>
      <c r="B241" s="164" t="s">
        <v>124</v>
      </c>
      <c r="C241" s="167" t="s">
        <v>38</v>
      </c>
      <c r="D241" s="168">
        <v>6937.9</v>
      </c>
      <c r="E241" s="158" t="s">
        <v>106</v>
      </c>
      <c r="F241" s="161"/>
    </row>
    <row r="242" spans="1:6" ht="38.25" customHeight="1" thickBot="1">
      <c r="A242" s="163"/>
      <c r="B242" s="166"/>
      <c r="C242" s="167"/>
      <c r="D242" s="160"/>
      <c r="E242" s="160"/>
      <c r="F242" s="163"/>
    </row>
    <row r="243" spans="1:6" ht="18.75" customHeight="1" thickBot="1">
      <c r="A243" s="161">
        <v>5</v>
      </c>
      <c r="B243" s="169" t="s">
        <v>130</v>
      </c>
      <c r="C243" s="167" t="s">
        <v>52</v>
      </c>
      <c r="D243" s="168">
        <v>856.06</v>
      </c>
      <c r="E243" s="158" t="s">
        <v>106</v>
      </c>
      <c r="F243" s="161"/>
    </row>
    <row r="244" spans="1:6" ht="46.5" customHeight="1" thickBot="1">
      <c r="A244" s="163"/>
      <c r="B244" s="170"/>
      <c r="C244" s="167"/>
      <c r="D244" s="160"/>
      <c r="E244" s="160"/>
      <c r="F244" s="163"/>
    </row>
    <row r="245" spans="1:6" ht="18.75" customHeight="1" thickBot="1">
      <c r="A245" s="161">
        <v>6</v>
      </c>
      <c r="B245" s="164" t="s">
        <v>130</v>
      </c>
      <c r="C245" s="167" t="s">
        <v>54</v>
      </c>
      <c r="D245" s="168">
        <v>856.06</v>
      </c>
      <c r="E245" s="158" t="s">
        <v>106</v>
      </c>
      <c r="F245" s="161"/>
    </row>
    <row r="246" spans="1:6" ht="18.75" customHeight="1" thickBot="1">
      <c r="A246" s="162"/>
      <c r="B246" s="165"/>
      <c r="C246" s="167"/>
      <c r="D246" s="159"/>
      <c r="E246" s="159"/>
      <c r="F246" s="162"/>
    </row>
    <row r="247" spans="1:6" ht="36" customHeight="1" thickBot="1">
      <c r="A247" s="163"/>
      <c r="B247" s="166"/>
      <c r="C247" s="167"/>
      <c r="D247" s="160"/>
      <c r="E247" s="160"/>
      <c r="F247" s="163"/>
    </row>
    <row r="248" spans="1:6" ht="57.75" customHeight="1" thickBot="1">
      <c r="A248" s="139">
        <v>7</v>
      </c>
      <c r="B248" s="140" t="s">
        <v>130</v>
      </c>
      <c r="C248" s="140" t="s">
        <v>57</v>
      </c>
      <c r="D248" s="146">
        <v>2708.8</v>
      </c>
      <c r="E248" s="141" t="s">
        <v>106</v>
      </c>
      <c r="F248" s="139"/>
    </row>
    <row r="249" spans="1:6" ht="51" customHeight="1" thickBot="1">
      <c r="A249" s="139">
        <v>8</v>
      </c>
      <c r="B249" s="140" t="s">
        <v>130</v>
      </c>
      <c r="C249" s="140" t="s">
        <v>67</v>
      </c>
      <c r="D249" s="146">
        <v>2072.1</v>
      </c>
      <c r="E249" s="141" t="s">
        <v>105</v>
      </c>
      <c r="F249" s="139"/>
    </row>
    <row r="250" spans="1:6" ht="18.75" customHeight="1" thickBot="1">
      <c r="A250" s="151" t="s">
        <v>108</v>
      </c>
      <c r="B250" s="152"/>
      <c r="C250" s="153"/>
      <c r="D250" s="152"/>
      <c r="E250" s="152"/>
      <c r="F250" s="154"/>
    </row>
    <row r="251" spans="1:6" ht="63.75" customHeight="1" thickBot="1">
      <c r="A251" s="139">
        <v>9</v>
      </c>
      <c r="B251" s="140" t="s">
        <v>125</v>
      </c>
      <c r="C251" s="140" t="s">
        <v>247</v>
      </c>
      <c r="D251" s="146">
        <v>355.89</v>
      </c>
      <c r="E251" s="141" t="s">
        <v>109</v>
      </c>
      <c r="F251" s="139"/>
    </row>
    <row r="252" spans="1:6" ht="18.75" customHeight="1" thickBot="1">
      <c r="A252" s="151" t="s">
        <v>111</v>
      </c>
      <c r="B252" s="152"/>
      <c r="C252" s="153"/>
      <c r="D252" s="152"/>
      <c r="E252" s="152"/>
      <c r="F252" s="154"/>
    </row>
    <row r="253" spans="1:6" ht="54.75" customHeight="1" thickBot="1">
      <c r="A253" s="139">
        <v>10</v>
      </c>
      <c r="B253" s="140" t="s">
        <v>112</v>
      </c>
      <c r="C253" s="140" t="s">
        <v>70</v>
      </c>
      <c r="D253" s="146">
        <v>240.9</v>
      </c>
      <c r="E253" s="141" t="s">
        <v>106</v>
      </c>
      <c r="F253" s="139"/>
    </row>
    <row r="254" spans="1:6" ht="73.5" customHeight="1" thickBot="1">
      <c r="A254" s="139">
        <v>11</v>
      </c>
      <c r="B254" s="140" t="s">
        <v>112</v>
      </c>
      <c r="C254" s="140" t="s">
        <v>284</v>
      </c>
      <c r="D254" s="146">
        <v>2232.74</v>
      </c>
      <c r="E254" s="141" t="s">
        <v>106</v>
      </c>
      <c r="F254" s="139"/>
    </row>
    <row r="255" spans="1:6" ht="20.25" customHeight="1" thickBot="1">
      <c r="A255" s="139">
        <v>12</v>
      </c>
      <c r="B255" s="140" t="s">
        <v>112</v>
      </c>
      <c r="C255" s="140" t="s">
        <v>45</v>
      </c>
      <c r="D255" s="146">
        <v>2254.36</v>
      </c>
      <c r="E255" s="141" t="s">
        <v>106</v>
      </c>
      <c r="F255" s="139"/>
    </row>
    <row r="256" spans="1:6" ht="61.5" customHeight="1" thickBot="1">
      <c r="A256" s="139">
        <v>13</v>
      </c>
      <c r="B256" s="140" t="s">
        <v>127</v>
      </c>
      <c r="C256" s="140" t="s">
        <v>71</v>
      </c>
      <c r="D256" s="146">
        <v>3558.9</v>
      </c>
      <c r="E256" s="141" t="s">
        <v>106</v>
      </c>
      <c r="F256" s="139"/>
    </row>
    <row r="257" spans="1:6" ht="48.75" customHeight="1" thickBot="1">
      <c r="A257" s="139">
        <v>14</v>
      </c>
      <c r="B257" s="140" t="s">
        <v>127</v>
      </c>
      <c r="C257" s="140" t="s">
        <v>72</v>
      </c>
      <c r="D257" s="146">
        <v>252.95</v>
      </c>
      <c r="E257" s="141" t="s">
        <v>106</v>
      </c>
      <c r="F257" s="139"/>
    </row>
    <row r="258" spans="1:6" ht="64.5" customHeight="1" thickBot="1">
      <c r="A258" s="139">
        <v>15</v>
      </c>
      <c r="B258" s="140" t="s">
        <v>127</v>
      </c>
      <c r="C258" s="140" t="s">
        <v>73</v>
      </c>
      <c r="D258" s="146">
        <v>2001.41</v>
      </c>
      <c r="E258" s="141" t="s">
        <v>106</v>
      </c>
      <c r="F258" s="139"/>
    </row>
    <row r="259" spans="1:6" ht="18.75" customHeight="1" thickBot="1">
      <c r="A259" s="151" t="s">
        <v>115</v>
      </c>
      <c r="B259" s="152"/>
      <c r="C259" s="153"/>
      <c r="D259" s="152"/>
      <c r="E259" s="152"/>
      <c r="F259" s="154"/>
    </row>
    <row r="260" spans="1:6" ht="39.75" customHeight="1" thickBot="1">
      <c r="A260" s="139">
        <v>16</v>
      </c>
      <c r="B260" s="140" t="s">
        <v>141</v>
      </c>
      <c r="C260" s="140" t="s">
        <v>74</v>
      </c>
      <c r="D260" s="146">
        <v>1834.63</v>
      </c>
      <c r="E260" s="141" t="s">
        <v>106</v>
      </c>
      <c r="F260" s="139"/>
    </row>
    <row r="261" spans="1:6" ht="39.75" customHeight="1" thickBot="1">
      <c r="A261" s="139">
        <v>17</v>
      </c>
      <c r="B261" s="140" t="s">
        <v>141</v>
      </c>
      <c r="C261" s="140" t="s">
        <v>286</v>
      </c>
      <c r="D261" s="146">
        <v>589.17</v>
      </c>
      <c r="E261" s="141" t="s">
        <v>178</v>
      </c>
      <c r="F261" s="139"/>
    </row>
    <row r="262" spans="1:6" ht="41.25" customHeight="1" thickBot="1">
      <c r="A262" s="139">
        <v>18</v>
      </c>
      <c r="B262" s="140" t="s">
        <v>139</v>
      </c>
      <c r="C262" s="140" t="s">
        <v>75</v>
      </c>
      <c r="D262" s="146">
        <v>9955.25</v>
      </c>
      <c r="E262" s="141" t="s">
        <v>106</v>
      </c>
      <c r="F262" s="139"/>
    </row>
    <row r="263" spans="1:6" ht="34.5" customHeight="1" thickBot="1">
      <c r="A263" s="139">
        <v>19</v>
      </c>
      <c r="B263" s="140" t="s">
        <v>139</v>
      </c>
      <c r="C263" s="140" t="s">
        <v>76</v>
      </c>
      <c r="D263" s="146">
        <v>240.9</v>
      </c>
      <c r="E263" s="141" t="s">
        <v>106</v>
      </c>
      <c r="F263" s="139"/>
    </row>
    <row r="264" spans="1:6" ht="34.5" customHeight="1" thickBot="1">
      <c r="A264" s="139">
        <v>20</v>
      </c>
      <c r="B264" s="140" t="s">
        <v>139</v>
      </c>
      <c r="C264" s="140" t="s">
        <v>77</v>
      </c>
      <c r="D264" s="146">
        <v>3558.9</v>
      </c>
      <c r="E264" s="141" t="s">
        <v>106</v>
      </c>
      <c r="F264" s="139"/>
    </row>
    <row r="265" spans="1:6" ht="31.5" customHeight="1" thickBot="1">
      <c r="A265" s="139">
        <v>21</v>
      </c>
      <c r="B265" s="140" t="s">
        <v>157</v>
      </c>
      <c r="C265" s="140" t="s">
        <v>289</v>
      </c>
      <c r="D265" s="141">
        <v>2642.85</v>
      </c>
      <c r="E265" s="141" t="s">
        <v>106</v>
      </c>
      <c r="F265" s="139"/>
    </row>
    <row r="266" spans="1:6" ht="18.75" customHeight="1" thickBot="1">
      <c r="A266" s="151" t="s">
        <v>119</v>
      </c>
      <c r="B266" s="152"/>
      <c r="C266" s="153"/>
      <c r="D266" s="152"/>
      <c r="E266" s="152"/>
      <c r="F266" s="154"/>
    </row>
    <row r="267" spans="1:6" ht="18.75" customHeight="1" thickBot="1">
      <c r="A267" s="139">
        <v>22</v>
      </c>
      <c r="B267" s="140" t="s">
        <v>120</v>
      </c>
      <c r="C267" s="140" t="s">
        <v>80</v>
      </c>
      <c r="D267" s="146">
        <v>4982.4</v>
      </c>
      <c r="E267" s="141" t="s">
        <v>106</v>
      </c>
      <c r="F267" s="139"/>
    </row>
    <row r="268" spans="1:6" ht="18.75" customHeight="1" thickBot="1">
      <c r="A268" s="151" t="s">
        <v>163</v>
      </c>
      <c r="B268" s="152"/>
      <c r="C268" s="153"/>
      <c r="D268" s="152"/>
      <c r="E268" s="152"/>
      <c r="F268" s="154"/>
    </row>
    <row r="269" spans="1:6" ht="18.75" customHeight="1" thickBot="1">
      <c r="A269" s="139">
        <v>23</v>
      </c>
      <c r="B269" s="140" t="s">
        <v>164</v>
      </c>
      <c r="C269" s="140" t="s">
        <v>81</v>
      </c>
      <c r="D269" s="141">
        <v>74.4</v>
      </c>
      <c r="E269" s="141" t="s">
        <v>106</v>
      </c>
      <c r="F269" s="139"/>
    </row>
    <row r="270" spans="1:6" ht="33.75" customHeight="1" thickBot="1">
      <c r="A270" s="139">
        <v>24</v>
      </c>
      <c r="B270" s="140" t="s">
        <v>164</v>
      </c>
      <c r="C270" s="140" t="s">
        <v>290</v>
      </c>
      <c r="D270" s="141">
        <v>12.5</v>
      </c>
      <c r="E270" s="141" t="s">
        <v>106</v>
      </c>
      <c r="F270" s="139"/>
    </row>
    <row r="271" spans="1:6" ht="18.75" customHeight="1" thickBot="1">
      <c r="A271" s="139">
        <v>25</v>
      </c>
      <c r="B271" s="140" t="s">
        <v>165</v>
      </c>
      <c r="C271" s="140" t="s">
        <v>83</v>
      </c>
      <c r="D271" s="141">
        <v>2</v>
      </c>
      <c r="E271" s="141" t="s">
        <v>113</v>
      </c>
      <c r="F271" s="139"/>
    </row>
    <row r="272" spans="1:6" ht="18.75" customHeight="1" thickBot="1">
      <c r="A272" s="139">
        <v>26</v>
      </c>
      <c r="B272" s="140" t="s">
        <v>165</v>
      </c>
      <c r="C272" s="140" t="s">
        <v>84</v>
      </c>
      <c r="D272" s="141">
        <v>2</v>
      </c>
      <c r="E272" s="141" t="s">
        <v>113</v>
      </c>
      <c r="F272" s="139"/>
    </row>
    <row r="273" spans="1:6" ht="18.75" customHeight="1" thickBot="1">
      <c r="A273" s="139">
        <v>27</v>
      </c>
      <c r="B273" s="140" t="s">
        <v>165</v>
      </c>
      <c r="C273" s="140" t="s">
        <v>85</v>
      </c>
      <c r="D273" s="141">
        <v>15</v>
      </c>
      <c r="E273" s="141" t="s">
        <v>113</v>
      </c>
      <c r="F273" s="139"/>
    </row>
    <row r="274" spans="1:6" ht="18.75" customHeight="1" thickBot="1">
      <c r="A274" s="139">
        <v>28</v>
      </c>
      <c r="B274" s="140" t="s">
        <v>165</v>
      </c>
      <c r="C274" s="140" t="s">
        <v>86</v>
      </c>
      <c r="D274" s="141">
        <v>12</v>
      </c>
      <c r="E274" s="141" t="s">
        <v>113</v>
      </c>
      <c r="F274" s="139"/>
    </row>
    <row r="275" spans="1:6" ht="18.75" customHeight="1" thickBot="1">
      <c r="A275" s="139">
        <v>29</v>
      </c>
      <c r="B275" s="140" t="s">
        <v>165</v>
      </c>
      <c r="C275" s="140" t="s">
        <v>87</v>
      </c>
      <c r="D275" s="141">
        <v>6</v>
      </c>
      <c r="E275" s="141" t="s">
        <v>113</v>
      </c>
      <c r="F275" s="139"/>
    </row>
    <row r="276" spans="1:6" ht="18.75" customHeight="1" thickBot="1">
      <c r="A276" s="139">
        <v>30</v>
      </c>
      <c r="B276" s="140" t="s">
        <v>165</v>
      </c>
      <c r="C276" s="140" t="s">
        <v>88</v>
      </c>
      <c r="D276" s="141">
        <v>5</v>
      </c>
      <c r="E276" s="141" t="s">
        <v>113</v>
      </c>
      <c r="F276" s="139"/>
    </row>
    <row r="277" spans="1:6" ht="18.75" customHeight="1" thickBot="1">
      <c r="A277" s="139">
        <v>31</v>
      </c>
      <c r="B277" s="140" t="s">
        <v>168</v>
      </c>
      <c r="C277" s="140" t="s">
        <v>175</v>
      </c>
      <c r="D277" s="141">
        <v>34</v>
      </c>
      <c r="E277" s="141" t="s">
        <v>113</v>
      </c>
      <c r="F277" s="139"/>
    </row>
    <row r="278" spans="1:6" ht="18.75" customHeight="1" thickBot="1">
      <c r="A278" s="151" t="s">
        <v>117</v>
      </c>
      <c r="B278" s="152"/>
      <c r="C278" s="153"/>
      <c r="D278" s="152"/>
      <c r="E278" s="152"/>
      <c r="F278" s="154"/>
    </row>
    <row r="279" spans="1:6" ht="41.25" customHeight="1" thickBot="1">
      <c r="A279" s="139">
        <v>32</v>
      </c>
      <c r="B279" s="140" t="s">
        <v>118</v>
      </c>
      <c r="C279" s="145" t="s">
        <v>29</v>
      </c>
      <c r="D279" s="146">
        <v>4.5</v>
      </c>
      <c r="E279" s="141" t="s">
        <v>105</v>
      </c>
      <c r="F279" s="139"/>
    </row>
    <row r="280" spans="1:6" ht="18.75" customHeight="1" thickBot="1">
      <c r="A280" s="139">
        <v>33</v>
      </c>
      <c r="B280" s="140" t="s">
        <v>129</v>
      </c>
      <c r="C280" s="140" t="s">
        <v>50</v>
      </c>
      <c r="D280" s="146">
        <v>35.85</v>
      </c>
      <c r="E280" s="141" t="s">
        <v>105</v>
      </c>
      <c r="F280" s="139"/>
    </row>
    <row r="281" spans="1:6" ht="18.75" customHeight="1" thickBot="1">
      <c r="A281" s="155" t="s">
        <v>92</v>
      </c>
      <c r="B281" s="156"/>
      <c r="C281" s="156"/>
      <c r="D281" s="156"/>
      <c r="E281" s="156"/>
      <c r="F281" s="157"/>
    </row>
    <row r="282" spans="1:6" ht="40.5" customHeight="1" thickBot="1">
      <c r="A282" s="139">
        <v>34</v>
      </c>
      <c r="B282" s="140" t="s">
        <v>32</v>
      </c>
      <c r="C282" s="140" t="s">
        <v>93</v>
      </c>
      <c r="D282" s="141">
        <v>295</v>
      </c>
      <c r="E282" s="141" t="s">
        <v>105</v>
      </c>
      <c r="F282" s="139"/>
    </row>
    <row r="283" spans="1:6" ht="44.25" customHeight="1" thickBot="1">
      <c r="A283" s="139">
        <v>35</v>
      </c>
      <c r="B283" s="140" t="s">
        <v>32</v>
      </c>
      <c r="C283" s="140" t="s">
        <v>291</v>
      </c>
      <c r="D283" s="141">
        <v>430</v>
      </c>
      <c r="E283" s="141" t="s">
        <v>105</v>
      </c>
      <c r="F283" s="139"/>
    </row>
    <row r="284" spans="1:6" ht="30.75" customHeight="1" thickBot="1">
      <c r="A284" s="139">
        <v>36</v>
      </c>
      <c r="B284" s="140" t="s">
        <v>32</v>
      </c>
      <c r="C284" s="140" t="s">
        <v>292</v>
      </c>
      <c r="D284" s="141">
        <v>430</v>
      </c>
      <c r="E284" s="141" t="s">
        <v>105</v>
      </c>
      <c r="F284" s="139"/>
    </row>
    <row r="285" spans="1:6" ht="34.5" customHeight="1" thickBot="1">
      <c r="A285" s="139">
        <v>37</v>
      </c>
      <c r="B285" s="140" t="s">
        <v>32</v>
      </c>
      <c r="C285" s="140" t="s">
        <v>293</v>
      </c>
      <c r="D285" s="141">
        <v>1</v>
      </c>
      <c r="E285" s="141" t="s">
        <v>188</v>
      </c>
      <c r="F285" s="139"/>
    </row>
    <row r="286" spans="1:6" ht="39" customHeight="1" thickBot="1">
      <c r="A286" s="139">
        <v>38</v>
      </c>
      <c r="B286" s="140" t="s">
        <v>32</v>
      </c>
      <c r="C286" s="140" t="s">
        <v>294</v>
      </c>
      <c r="D286" s="141">
        <v>23</v>
      </c>
      <c r="E286" s="141" t="s">
        <v>188</v>
      </c>
      <c r="F286" s="139"/>
    </row>
    <row r="287" spans="1:6" ht="18.75" customHeight="1">
      <c r="A287" s="136"/>
      <c r="B287" s="136"/>
      <c r="C287" s="136"/>
      <c r="D287" s="136"/>
      <c r="E287" s="136"/>
      <c r="F287" s="136"/>
    </row>
    <row r="288" spans="1:6" ht="18.75" customHeight="1">
      <c r="A288" s="136"/>
      <c r="B288" s="136"/>
      <c r="C288" s="136"/>
      <c r="D288" s="136"/>
      <c r="E288" s="136"/>
      <c r="F288" s="136"/>
    </row>
    <row r="289" spans="1:6" ht="28.5" customHeight="1">
      <c r="A289" s="147"/>
      <c r="B289" s="136"/>
      <c r="C289" s="136"/>
      <c r="D289" s="136"/>
      <c r="E289" s="136"/>
      <c r="F289" s="136"/>
    </row>
    <row r="290" spans="1:6" ht="18">
      <c r="A290" s="136"/>
      <c r="B290" s="136"/>
      <c r="C290" s="136"/>
      <c r="D290" s="136"/>
      <c r="E290" s="136"/>
      <c r="F290" s="136"/>
    </row>
    <row r="291" spans="1:6" ht="18">
      <c r="A291" s="136"/>
      <c r="B291" s="136"/>
      <c r="C291" s="136"/>
      <c r="D291" s="136"/>
      <c r="E291" s="136"/>
      <c r="F291" s="136"/>
    </row>
    <row r="292" spans="1:6" ht="18">
      <c r="A292" s="136"/>
      <c r="B292" s="136"/>
      <c r="C292" s="136"/>
      <c r="D292" s="136"/>
      <c r="E292" s="136"/>
      <c r="F292" s="136"/>
    </row>
    <row r="293" spans="1:6" ht="18">
      <c r="A293" s="136"/>
      <c r="B293" s="136"/>
      <c r="C293" s="136"/>
      <c r="D293" s="136"/>
      <c r="E293" s="136"/>
      <c r="F293" s="136"/>
    </row>
    <row r="294" spans="1:6" ht="18">
      <c r="A294" s="136"/>
      <c r="B294" s="136"/>
      <c r="C294" s="136"/>
      <c r="D294" s="136"/>
      <c r="E294" s="136"/>
      <c r="F294" s="136"/>
    </row>
    <row r="295" spans="1:6" ht="18">
      <c r="A295" s="136"/>
      <c r="B295" s="136"/>
      <c r="C295" s="136"/>
      <c r="D295" s="136"/>
      <c r="E295" s="136"/>
      <c r="F295" s="136"/>
    </row>
    <row r="296" spans="1:6" ht="18">
      <c r="A296" s="136"/>
      <c r="B296" s="136"/>
      <c r="C296" s="136"/>
      <c r="D296" s="136"/>
      <c r="E296" s="136"/>
      <c r="F296" s="136"/>
    </row>
    <row r="297" spans="1:6" ht="18">
      <c r="A297" s="136"/>
      <c r="B297" s="136"/>
      <c r="C297" s="136"/>
      <c r="D297" s="136"/>
      <c r="E297" s="136"/>
      <c r="F297" s="136"/>
    </row>
    <row r="298" spans="1:6" ht="18">
      <c r="A298" s="136"/>
      <c r="B298" s="136"/>
      <c r="C298" s="136"/>
      <c r="D298" s="136"/>
      <c r="E298" s="136"/>
      <c r="F298" s="136"/>
    </row>
    <row r="299" spans="1:6" ht="18">
      <c r="A299" s="136"/>
      <c r="B299" s="136"/>
      <c r="C299" s="136"/>
      <c r="D299" s="136"/>
      <c r="E299" s="136"/>
      <c r="F299" s="136"/>
    </row>
    <row r="300" spans="1:6" ht="18">
      <c r="A300" s="136"/>
      <c r="B300" s="136"/>
      <c r="C300" s="136"/>
      <c r="D300" s="136"/>
      <c r="E300" s="136"/>
      <c r="F300" s="136"/>
    </row>
    <row r="301" spans="1:6" ht="18">
      <c r="A301" s="136"/>
      <c r="B301" s="136"/>
      <c r="C301" s="136"/>
      <c r="D301" s="136"/>
      <c r="E301" s="136"/>
      <c r="F301" s="136"/>
    </row>
    <row r="302" spans="1:6" ht="18">
      <c r="A302" s="136"/>
      <c r="B302" s="136"/>
      <c r="C302" s="136"/>
      <c r="D302" s="136"/>
      <c r="E302" s="136"/>
      <c r="F302" s="136"/>
    </row>
    <row r="303" spans="1:6" ht="18">
      <c r="A303" s="136"/>
      <c r="B303" s="136"/>
      <c r="C303" s="136"/>
      <c r="D303" s="136"/>
      <c r="E303" s="136"/>
      <c r="F303" s="136"/>
    </row>
    <row r="304" spans="1:6" ht="18">
      <c r="A304" s="136"/>
      <c r="B304" s="136"/>
      <c r="C304" s="136"/>
      <c r="D304" s="136"/>
      <c r="E304" s="136"/>
      <c r="F304" s="136"/>
    </row>
    <row r="305" spans="1:6" ht="18">
      <c r="A305" s="136"/>
      <c r="B305" s="136"/>
      <c r="C305" s="136"/>
      <c r="D305" s="136"/>
      <c r="E305" s="136"/>
      <c r="F305" s="136"/>
    </row>
    <row r="306" spans="1:6" ht="18">
      <c r="A306" s="136"/>
      <c r="B306" s="136"/>
      <c r="C306" s="136"/>
      <c r="D306" s="136"/>
      <c r="E306" s="136"/>
      <c r="F306" s="136"/>
    </row>
    <row r="307" spans="1:6" ht="18">
      <c r="A307" s="136"/>
      <c r="B307" s="136"/>
      <c r="C307" s="136"/>
      <c r="D307" s="136"/>
      <c r="E307" s="136"/>
      <c r="F307" s="136"/>
    </row>
    <row r="308" spans="1:6" ht="18">
      <c r="A308" s="136"/>
      <c r="B308" s="136"/>
      <c r="C308" s="136"/>
      <c r="D308" s="136"/>
      <c r="E308" s="136"/>
      <c r="F308" s="136"/>
    </row>
    <row r="309" spans="1:6" ht="18">
      <c r="A309" s="136"/>
      <c r="B309" s="136"/>
      <c r="C309" s="136"/>
      <c r="D309" s="136"/>
      <c r="E309" s="136"/>
      <c r="F309" s="136"/>
    </row>
    <row r="310" spans="1:6" ht="18">
      <c r="A310" s="136"/>
      <c r="B310" s="136"/>
      <c r="C310" s="136"/>
      <c r="D310" s="136"/>
      <c r="E310" s="136"/>
      <c r="F310" s="136"/>
    </row>
    <row r="311" spans="1:6" ht="18">
      <c r="A311" s="136"/>
      <c r="B311" s="136"/>
      <c r="C311" s="136"/>
      <c r="D311" s="136"/>
      <c r="E311" s="136"/>
      <c r="F311" s="136"/>
    </row>
    <row r="312" spans="1:6" ht="18">
      <c r="A312" s="136"/>
      <c r="B312" s="136"/>
      <c r="C312" s="136"/>
      <c r="D312" s="136"/>
      <c r="E312" s="136"/>
      <c r="F312" s="136"/>
    </row>
    <row r="313" spans="1:6" ht="18">
      <c r="A313" s="136"/>
      <c r="B313" s="136"/>
      <c r="C313" s="136"/>
      <c r="D313" s="136"/>
      <c r="E313" s="136"/>
      <c r="F313" s="136"/>
    </row>
    <row r="314" spans="1:6" ht="18">
      <c r="A314" s="136"/>
      <c r="B314" s="136"/>
      <c r="C314" s="136"/>
      <c r="D314" s="136"/>
      <c r="E314" s="136"/>
      <c r="F314" s="136"/>
    </row>
    <row r="315" spans="1:6" ht="18">
      <c r="A315" s="136"/>
      <c r="B315" s="136"/>
      <c r="C315" s="136"/>
      <c r="D315" s="136"/>
      <c r="E315" s="136"/>
      <c r="F315" s="136"/>
    </row>
    <row r="316" spans="1:6" ht="18">
      <c r="A316" s="136"/>
      <c r="B316" s="136"/>
      <c r="C316" s="136"/>
      <c r="D316" s="136"/>
      <c r="E316" s="136"/>
      <c r="F316" s="136"/>
    </row>
    <row r="317" spans="1:6" ht="18">
      <c r="A317" s="136"/>
      <c r="B317" s="136"/>
      <c r="C317" s="136"/>
      <c r="D317" s="136"/>
      <c r="E317" s="136"/>
      <c r="F317" s="136"/>
    </row>
    <row r="318" spans="1:6" ht="18">
      <c r="A318" s="136"/>
      <c r="B318" s="136"/>
      <c r="C318" s="136"/>
      <c r="D318" s="136"/>
      <c r="E318" s="136"/>
      <c r="F318" s="136"/>
    </row>
    <row r="319" spans="1:6" ht="18">
      <c r="A319" s="136"/>
      <c r="B319" s="136"/>
      <c r="C319" s="136"/>
      <c r="D319" s="136"/>
      <c r="E319" s="136"/>
      <c r="F319" s="136"/>
    </row>
    <row r="320" spans="1:6" ht="18">
      <c r="A320" s="136"/>
      <c r="B320" s="136"/>
      <c r="C320" s="136"/>
      <c r="D320" s="136"/>
      <c r="E320" s="136"/>
      <c r="F320" s="136"/>
    </row>
    <row r="321" spans="1:6" ht="18">
      <c r="A321" s="136"/>
      <c r="B321" s="136"/>
      <c r="C321" s="136"/>
      <c r="D321" s="136"/>
      <c r="E321" s="136"/>
      <c r="F321" s="136"/>
    </row>
    <row r="322" spans="1:6" ht="18">
      <c r="A322" s="136"/>
      <c r="B322" s="136"/>
      <c r="C322" s="136"/>
      <c r="D322" s="136"/>
      <c r="E322" s="136"/>
      <c r="F322" s="136"/>
    </row>
    <row r="323" spans="1:6" ht="18">
      <c r="A323" s="136"/>
      <c r="B323" s="136"/>
      <c r="C323" s="136"/>
      <c r="D323" s="136"/>
      <c r="E323" s="136"/>
      <c r="F323" s="136"/>
    </row>
    <row r="324" spans="1:6" ht="18">
      <c r="A324" s="136"/>
      <c r="B324" s="136"/>
      <c r="C324" s="136"/>
      <c r="D324" s="136"/>
      <c r="E324" s="136"/>
      <c r="F324" s="136"/>
    </row>
  </sheetData>
  <sheetProtection/>
  <mergeCells count="375">
    <mergeCell ref="C154:C155"/>
    <mergeCell ref="E151:E153"/>
    <mergeCell ref="D149:D150"/>
    <mergeCell ref="E149:E150"/>
    <mergeCell ref="F154:F155"/>
    <mergeCell ref="A168:F168"/>
    <mergeCell ref="A170:F170"/>
    <mergeCell ref="A154:A155"/>
    <mergeCell ref="B154:B155"/>
    <mergeCell ref="D154:D155"/>
    <mergeCell ref="E154:E155"/>
    <mergeCell ref="C147:C148"/>
    <mergeCell ref="C149:C150"/>
    <mergeCell ref="F145:F146"/>
    <mergeCell ref="F147:F148"/>
    <mergeCell ref="F151:F153"/>
    <mergeCell ref="A149:A150"/>
    <mergeCell ref="B149:B150"/>
    <mergeCell ref="A151:A153"/>
    <mergeCell ref="B151:B153"/>
    <mergeCell ref="D151:D153"/>
    <mergeCell ref="A145:A146"/>
    <mergeCell ref="B145:B146"/>
    <mergeCell ref="D145:D146"/>
    <mergeCell ref="E145:E146"/>
    <mergeCell ref="C145:C146"/>
    <mergeCell ref="F149:F150"/>
    <mergeCell ref="A147:A148"/>
    <mergeCell ref="B147:B148"/>
    <mergeCell ref="D147:D148"/>
    <mergeCell ref="E147:E148"/>
    <mergeCell ref="B143:B144"/>
    <mergeCell ref="A143:A144"/>
    <mergeCell ref="D143:D144"/>
    <mergeCell ref="E143:E144"/>
    <mergeCell ref="F143:F144"/>
    <mergeCell ref="E133:E135"/>
    <mergeCell ref="A35:A36"/>
    <mergeCell ref="B35:B36"/>
    <mergeCell ref="A31:A32"/>
    <mergeCell ref="B31:B32"/>
    <mergeCell ref="A133:A135"/>
    <mergeCell ref="F133:F135"/>
    <mergeCell ref="A83:F83"/>
    <mergeCell ref="A92:F92"/>
    <mergeCell ref="A95:F95"/>
    <mergeCell ref="A72:A73"/>
    <mergeCell ref="B72:B73"/>
    <mergeCell ref="D72:D73"/>
    <mergeCell ref="E72:E73"/>
    <mergeCell ref="F72:F73"/>
    <mergeCell ref="A81:A82"/>
    <mergeCell ref="B81:B82"/>
    <mergeCell ref="B38:B40"/>
    <mergeCell ref="A71:F71"/>
    <mergeCell ref="A42:A43"/>
    <mergeCell ref="C42:C43"/>
    <mergeCell ref="F42:F43"/>
    <mergeCell ref="C55:C56"/>
    <mergeCell ref="B64:B65"/>
    <mergeCell ref="D64:D65"/>
    <mergeCell ref="D29:D30"/>
    <mergeCell ref="E29:E30"/>
    <mergeCell ref="E42:E43"/>
    <mergeCell ref="F35:F36"/>
    <mergeCell ref="A37:F37"/>
    <mergeCell ref="A41:F41"/>
    <mergeCell ref="A33:A34"/>
    <mergeCell ref="B33:B34"/>
    <mergeCell ref="A38:A40"/>
    <mergeCell ref="F38:F40"/>
    <mergeCell ref="C31:C32"/>
    <mergeCell ref="E46:E47"/>
    <mergeCell ref="E24:E26"/>
    <mergeCell ref="F24:F26"/>
    <mergeCell ref="B27:B28"/>
    <mergeCell ref="A27:A28"/>
    <mergeCell ref="E27:E28"/>
    <mergeCell ref="A24:A26"/>
    <mergeCell ref="A29:A30"/>
    <mergeCell ref="B29:B30"/>
    <mergeCell ref="D126:D127"/>
    <mergeCell ref="C126:C127"/>
    <mergeCell ref="E126:E127"/>
    <mergeCell ref="E131:E132"/>
    <mergeCell ref="A129:F129"/>
    <mergeCell ref="A131:A132"/>
    <mergeCell ref="C131:C132"/>
    <mergeCell ref="F131:F132"/>
    <mergeCell ref="B131:B132"/>
    <mergeCell ref="D11:D13"/>
    <mergeCell ref="E11:E13"/>
    <mergeCell ref="D38:D40"/>
    <mergeCell ref="E38:E40"/>
    <mergeCell ref="D24:D26"/>
    <mergeCell ref="E16:E17"/>
    <mergeCell ref="E14:E15"/>
    <mergeCell ref="E22:E23"/>
    <mergeCell ref="D27:D28"/>
    <mergeCell ref="E35:E36"/>
    <mergeCell ref="B4:B5"/>
    <mergeCell ref="C4:C5"/>
    <mergeCell ref="D4:D5"/>
    <mergeCell ref="O4:O5"/>
    <mergeCell ref="N4:N5"/>
    <mergeCell ref="L4:L5"/>
    <mergeCell ref="M4:M5"/>
    <mergeCell ref="E4:E5"/>
    <mergeCell ref="D1:F1"/>
    <mergeCell ref="A2:F2"/>
    <mergeCell ref="F11:F13"/>
    <mergeCell ref="E9:E10"/>
    <mergeCell ref="D9:D10"/>
    <mergeCell ref="B9:B10"/>
    <mergeCell ref="A9:A10"/>
    <mergeCell ref="C11:C13"/>
    <mergeCell ref="A4:A5"/>
    <mergeCell ref="D69:D70"/>
    <mergeCell ref="E69:E70"/>
    <mergeCell ref="C67:C68"/>
    <mergeCell ref="J4:J5"/>
    <mergeCell ref="K4:K5"/>
    <mergeCell ref="F9:F10"/>
    <mergeCell ref="H4:H5"/>
    <mergeCell ref="I4:I5"/>
    <mergeCell ref="A7:F7"/>
    <mergeCell ref="C9:C10"/>
    <mergeCell ref="D97:D98"/>
    <mergeCell ref="E97:E98"/>
    <mergeCell ref="C97:C98"/>
    <mergeCell ref="A88:A89"/>
    <mergeCell ref="B88:B89"/>
    <mergeCell ref="D88:D89"/>
    <mergeCell ref="E88:E89"/>
    <mergeCell ref="C88:C89"/>
    <mergeCell ref="E93:E94"/>
    <mergeCell ref="D93:D94"/>
    <mergeCell ref="A187:F187"/>
    <mergeCell ref="C112:C113"/>
    <mergeCell ref="D114:D115"/>
    <mergeCell ref="E114:E115"/>
    <mergeCell ref="B119:B120"/>
    <mergeCell ref="D119:D120"/>
    <mergeCell ref="E119:E120"/>
    <mergeCell ref="C114:C115"/>
    <mergeCell ref="A124:F124"/>
    <mergeCell ref="C133:C135"/>
    <mergeCell ref="D131:D132"/>
    <mergeCell ref="D133:D135"/>
    <mergeCell ref="C143:C144"/>
    <mergeCell ref="A11:A13"/>
    <mergeCell ref="B11:B13"/>
    <mergeCell ref="A22:A23"/>
    <mergeCell ref="B22:B23"/>
    <mergeCell ref="D20:D21"/>
    <mergeCell ref="C22:C23"/>
    <mergeCell ref="C44:C45"/>
    <mergeCell ref="F14:F15"/>
    <mergeCell ref="C14:C15"/>
    <mergeCell ref="A18:A19"/>
    <mergeCell ref="B18:B19"/>
    <mergeCell ref="A20:A21"/>
    <mergeCell ref="B20:B21"/>
    <mergeCell ref="B14:B15"/>
    <mergeCell ref="A14:A15"/>
    <mergeCell ref="D14:D15"/>
    <mergeCell ref="A16:A17"/>
    <mergeCell ref="B16:B17"/>
    <mergeCell ref="D16:D17"/>
    <mergeCell ref="C16:C17"/>
    <mergeCell ref="E20:E21"/>
    <mergeCell ref="C20:C21"/>
    <mergeCell ref="F20:F21"/>
    <mergeCell ref="D18:D19"/>
    <mergeCell ref="F16:F17"/>
    <mergeCell ref="C18:C19"/>
    <mergeCell ref="F18:F19"/>
    <mergeCell ref="E18:E19"/>
    <mergeCell ref="F22:F23"/>
    <mergeCell ref="E44:E45"/>
    <mergeCell ref="F44:F45"/>
    <mergeCell ref="F27:F28"/>
    <mergeCell ref="F29:F30"/>
    <mergeCell ref="F31:F32"/>
    <mergeCell ref="E33:E34"/>
    <mergeCell ref="F33:F34"/>
    <mergeCell ref="E31:E32"/>
    <mergeCell ref="D22:D23"/>
    <mergeCell ref="C29:C30"/>
    <mergeCell ref="C35:C36"/>
    <mergeCell ref="C38:C40"/>
    <mergeCell ref="C33:C34"/>
    <mergeCell ref="B24:B26"/>
    <mergeCell ref="C24:C26"/>
    <mergeCell ref="D35:D36"/>
    <mergeCell ref="D33:D34"/>
    <mergeCell ref="D31:D32"/>
    <mergeCell ref="A44:A45"/>
    <mergeCell ref="A46:A47"/>
    <mergeCell ref="B46:B47"/>
    <mergeCell ref="D46:D47"/>
    <mergeCell ref="B42:B43"/>
    <mergeCell ref="D42:D43"/>
    <mergeCell ref="C46:C47"/>
    <mergeCell ref="B48:B49"/>
    <mergeCell ref="D48:D49"/>
    <mergeCell ref="E48:E49"/>
    <mergeCell ref="C48:C49"/>
    <mergeCell ref="F46:F47"/>
    <mergeCell ref="B44:B45"/>
    <mergeCell ref="D44:D45"/>
    <mergeCell ref="F48:F49"/>
    <mergeCell ref="F50:F51"/>
    <mergeCell ref="F53:F54"/>
    <mergeCell ref="A50:A51"/>
    <mergeCell ref="B50:B51"/>
    <mergeCell ref="D50:D51"/>
    <mergeCell ref="E50:E51"/>
    <mergeCell ref="C50:C51"/>
    <mergeCell ref="C53:C54"/>
    <mergeCell ref="A48:A49"/>
    <mergeCell ref="F55:F56"/>
    <mergeCell ref="A53:A54"/>
    <mergeCell ref="B53:B54"/>
    <mergeCell ref="A55:A56"/>
    <mergeCell ref="B55:B56"/>
    <mergeCell ref="D55:D56"/>
    <mergeCell ref="E55:E56"/>
    <mergeCell ref="D53:D54"/>
    <mergeCell ref="E53:E54"/>
    <mergeCell ref="A58:A59"/>
    <mergeCell ref="C58:C59"/>
    <mergeCell ref="F58:F59"/>
    <mergeCell ref="E58:E59"/>
    <mergeCell ref="D58:D59"/>
    <mergeCell ref="B58:B59"/>
    <mergeCell ref="A60:A61"/>
    <mergeCell ref="C60:C61"/>
    <mergeCell ref="F60:F61"/>
    <mergeCell ref="B60:B61"/>
    <mergeCell ref="D60:D61"/>
    <mergeCell ref="E60:E61"/>
    <mergeCell ref="A62:A63"/>
    <mergeCell ref="F62:F63"/>
    <mergeCell ref="F64:F65"/>
    <mergeCell ref="C64:C65"/>
    <mergeCell ref="A64:A65"/>
    <mergeCell ref="B62:B63"/>
    <mergeCell ref="D62:D63"/>
    <mergeCell ref="E62:E63"/>
    <mergeCell ref="E64:E65"/>
    <mergeCell ref="C62:C63"/>
    <mergeCell ref="E74:E75"/>
    <mergeCell ref="F67:F68"/>
    <mergeCell ref="A67:A68"/>
    <mergeCell ref="C69:C70"/>
    <mergeCell ref="A69:A70"/>
    <mergeCell ref="F69:F70"/>
    <mergeCell ref="B67:B68"/>
    <mergeCell ref="D67:D68"/>
    <mergeCell ref="E67:E68"/>
    <mergeCell ref="B69:B70"/>
    <mergeCell ref="C72:C73"/>
    <mergeCell ref="D76:D77"/>
    <mergeCell ref="F76:F77"/>
    <mergeCell ref="D81:D82"/>
    <mergeCell ref="E76:E77"/>
    <mergeCell ref="A74:A75"/>
    <mergeCell ref="C74:C75"/>
    <mergeCell ref="F74:F75"/>
    <mergeCell ref="B74:B75"/>
    <mergeCell ref="D74:D75"/>
    <mergeCell ref="F81:F82"/>
    <mergeCell ref="A78:A80"/>
    <mergeCell ref="B78:B80"/>
    <mergeCell ref="D78:D80"/>
    <mergeCell ref="E78:E80"/>
    <mergeCell ref="C76:C77"/>
    <mergeCell ref="C78:C80"/>
    <mergeCell ref="C81:C82"/>
    <mergeCell ref="C90:C91"/>
    <mergeCell ref="A108:A109"/>
    <mergeCell ref="B76:B77"/>
    <mergeCell ref="B133:B135"/>
    <mergeCell ref="F93:F94"/>
    <mergeCell ref="F88:F89"/>
    <mergeCell ref="F90:F91"/>
    <mergeCell ref="E81:E82"/>
    <mergeCell ref="F78:F80"/>
    <mergeCell ref="A76:A77"/>
    <mergeCell ref="D86:D87"/>
    <mergeCell ref="E86:E87"/>
    <mergeCell ref="D108:D109"/>
    <mergeCell ref="A86:A87"/>
    <mergeCell ref="C86:C87"/>
    <mergeCell ref="F86:F87"/>
    <mergeCell ref="A90:A91"/>
    <mergeCell ref="B90:B91"/>
    <mergeCell ref="D90:D91"/>
    <mergeCell ref="E90:E91"/>
    <mergeCell ref="A107:F107"/>
    <mergeCell ref="F108:F109"/>
    <mergeCell ref="E108:E109"/>
    <mergeCell ref="A84:A85"/>
    <mergeCell ref="B84:B85"/>
    <mergeCell ref="C84:C85"/>
    <mergeCell ref="F84:F85"/>
    <mergeCell ref="E84:E85"/>
    <mergeCell ref="D84:D85"/>
    <mergeCell ref="B86:B87"/>
    <mergeCell ref="F110:F111"/>
    <mergeCell ref="E110:E111"/>
    <mergeCell ref="D110:D111"/>
    <mergeCell ref="B108:B109"/>
    <mergeCell ref="A93:A94"/>
    <mergeCell ref="C93:C94"/>
    <mergeCell ref="C108:C109"/>
    <mergeCell ref="A97:A98"/>
    <mergeCell ref="B93:B94"/>
    <mergeCell ref="B97:B98"/>
    <mergeCell ref="A110:A111"/>
    <mergeCell ref="B110:B111"/>
    <mergeCell ref="A112:A113"/>
    <mergeCell ref="B112:B113"/>
    <mergeCell ref="D112:D113"/>
    <mergeCell ref="E112:E113"/>
    <mergeCell ref="C110:C111"/>
    <mergeCell ref="A114:A115"/>
    <mergeCell ref="F114:F115"/>
    <mergeCell ref="C119:C120"/>
    <mergeCell ref="B114:B115"/>
    <mergeCell ref="A116:F116"/>
    <mergeCell ref="F112:F113"/>
    <mergeCell ref="A221:F221"/>
    <mergeCell ref="A226:F226"/>
    <mergeCell ref="A119:A120"/>
    <mergeCell ref="F119:F120"/>
    <mergeCell ref="A209:F209"/>
    <mergeCell ref="A207:F207"/>
    <mergeCell ref="A195:F195"/>
    <mergeCell ref="A126:A127"/>
    <mergeCell ref="B126:B127"/>
    <mergeCell ref="C151:C153"/>
    <mergeCell ref="A232:F232"/>
    <mergeCell ref="A234:A235"/>
    <mergeCell ref="B234:B235"/>
    <mergeCell ref="C234:C235"/>
    <mergeCell ref="D234:D235"/>
    <mergeCell ref="E234:E235"/>
    <mergeCell ref="E241:E242"/>
    <mergeCell ref="F241:F242"/>
    <mergeCell ref="A237:F237"/>
    <mergeCell ref="A241:A242"/>
    <mergeCell ref="B241:B242"/>
    <mergeCell ref="C241:C242"/>
    <mergeCell ref="D241:D242"/>
    <mergeCell ref="E243:E244"/>
    <mergeCell ref="F243:F244"/>
    <mergeCell ref="A243:A244"/>
    <mergeCell ref="B243:B244"/>
    <mergeCell ref="C243:C244"/>
    <mergeCell ref="D243:D244"/>
    <mergeCell ref="E245:E247"/>
    <mergeCell ref="F245:F247"/>
    <mergeCell ref="A245:A247"/>
    <mergeCell ref="B245:B247"/>
    <mergeCell ref="C245:C247"/>
    <mergeCell ref="D245:D247"/>
    <mergeCell ref="A266:F266"/>
    <mergeCell ref="A268:F268"/>
    <mergeCell ref="A278:F278"/>
    <mergeCell ref="A281:F281"/>
    <mergeCell ref="A250:F250"/>
    <mergeCell ref="A252:F252"/>
    <mergeCell ref="A259:F259"/>
  </mergeCells>
  <printOptions/>
  <pageMargins left="0.7874015748031497" right="0.3937007874015748" top="0.5905511811023623" bottom="0.5905511811023623" header="0.31496062992125984" footer="0.31496062992125984"/>
  <pageSetup fitToHeight="5" fitToWidth="1" horizontalDpi="600" verticalDpi="600" orientation="portrait" paperSize="9" scale="46" r:id="rId3"/>
  <headerFoot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6"/>
  <sheetViews>
    <sheetView zoomScalePageLayoutView="0" workbookViewId="0" topLeftCell="A94">
      <selection activeCell="A100" sqref="A100"/>
    </sheetView>
  </sheetViews>
  <sheetFormatPr defaultColWidth="8.796875" defaultRowHeight="14.25"/>
  <cols>
    <col min="1" max="1" width="6.59765625" style="124" customWidth="1"/>
    <col min="2" max="2" width="11.59765625" style="125" customWidth="1"/>
    <col min="3" max="3" width="55.19921875" style="125" customWidth="1"/>
    <col min="4" max="4" width="12.8984375" style="124" customWidth="1"/>
    <col min="5" max="5" width="8.59765625" style="124" customWidth="1"/>
    <col min="6" max="6" width="15.59765625" style="124" customWidth="1"/>
    <col min="7" max="7" width="19.59765625" style="124" customWidth="1"/>
    <col min="8" max="8" width="22.3984375" style="10" hidden="1" customWidth="1"/>
    <col min="9" max="9" width="13.59765625" style="9" hidden="1" customWidth="1"/>
    <col min="10" max="10" width="19" style="9" hidden="1" customWidth="1"/>
    <col min="11" max="11" width="18.59765625" style="9" hidden="1" customWidth="1"/>
    <col min="12" max="12" width="14.8984375" style="9" hidden="1" customWidth="1"/>
    <col min="13" max="13" width="13.59765625" style="9" hidden="1" customWidth="1"/>
    <col min="14" max="14" width="11.69921875" style="9" hidden="1" customWidth="1"/>
    <col min="15" max="15" width="11.5" style="9" hidden="1" customWidth="1"/>
    <col min="16" max="16" width="17.8984375" style="9" hidden="1" customWidth="1"/>
    <col min="17" max="21" width="9" style="9" customWidth="1"/>
    <col min="22" max="22" width="14.5" style="9" customWidth="1"/>
    <col min="23" max="43" width="9" style="9" customWidth="1"/>
    <col min="44" max="44" width="11.69921875" style="9" bestFit="1" customWidth="1"/>
    <col min="45" max="16384" width="9" style="9" customWidth="1"/>
  </cols>
  <sheetData>
    <row r="1" spans="1:8" ht="66" customHeight="1">
      <c r="A1" s="233" t="s">
        <v>274</v>
      </c>
      <c r="B1" s="234"/>
      <c r="C1" s="234"/>
      <c r="D1" s="234"/>
      <c r="E1" s="234"/>
      <c r="F1" s="234"/>
      <c r="G1" s="234"/>
      <c r="H1" s="8">
        <f>G124-G116</f>
        <v>3654748.84</v>
      </c>
    </row>
    <row r="2" spans="1:11" ht="83.25" customHeight="1" thickBot="1">
      <c r="A2" s="235" t="s">
        <v>210</v>
      </c>
      <c r="B2" s="236"/>
      <c r="C2" s="236"/>
      <c r="D2" s="236"/>
      <c r="E2" s="236"/>
      <c r="F2" s="236"/>
      <c r="G2" s="236"/>
      <c r="J2" s="11" t="s">
        <v>208</v>
      </c>
      <c r="K2" s="11" t="s">
        <v>220</v>
      </c>
    </row>
    <row r="3" spans="1:16" ht="37.5">
      <c r="A3" s="237" t="s">
        <v>97</v>
      </c>
      <c r="B3" s="239" t="s">
        <v>98</v>
      </c>
      <c r="C3" s="241" t="s">
        <v>99</v>
      </c>
      <c r="D3" s="239" t="s">
        <v>101</v>
      </c>
      <c r="E3" s="239" t="s">
        <v>212</v>
      </c>
      <c r="F3" s="12" t="s">
        <v>238</v>
      </c>
      <c r="G3" s="13" t="s">
        <v>239</v>
      </c>
      <c r="H3" s="14"/>
      <c r="I3" s="231" t="s">
        <v>147</v>
      </c>
      <c r="J3" s="232" t="s">
        <v>151</v>
      </c>
      <c r="K3" s="232" t="s">
        <v>207</v>
      </c>
      <c r="L3" s="232" t="s">
        <v>206</v>
      </c>
      <c r="M3" s="232" t="s">
        <v>148</v>
      </c>
      <c r="N3" s="231" t="s">
        <v>149</v>
      </c>
      <c r="O3" s="226" t="s">
        <v>150</v>
      </c>
      <c r="P3" s="226" t="s">
        <v>181</v>
      </c>
    </row>
    <row r="4" spans="1:16" ht="18.75">
      <c r="A4" s="238"/>
      <c r="B4" s="240"/>
      <c r="C4" s="242"/>
      <c r="D4" s="240"/>
      <c r="E4" s="240"/>
      <c r="F4" s="15" t="s">
        <v>100</v>
      </c>
      <c r="G4" s="16" t="s">
        <v>100</v>
      </c>
      <c r="I4" s="231"/>
      <c r="J4" s="232"/>
      <c r="K4" s="232"/>
      <c r="L4" s="232"/>
      <c r="M4" s="232"/>
      <c r="N4" s="231"/>
      <c r="O4" s="226"/>
      <c r="P4" s="226"/>
    </row>
    <row r="5" spans="1:7" ht="19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</row>
    <row r="6" spans="1:15" ht="19.5" thickBot="1">
      <c r="A6" s="20" t="s">
        <v>102</v>
      </c>
      <c r="B6" s="211" t="s">
        <v>103</v>
      </c>
      <c r="C6" s="212"/>
      <c r="D6" s="212"/>
      <c r="E6" s="212"/>
      <c r="F6" s="212"/>
      <c r="G6" s="213"/>
      <c r="I6" s="21">
        <v>0</v>
      </c>
      <c r="J6" s="22">
        <v>0</v>
      </c>
      <c r="K6" s="22">
        <v>0</v>
      </c>
      <c r="L6" s="22">
        <v>1</v>
      </c>
      <c r="M6" s="22">
        <v>0</v>
      </c>
      <c r="N6" s="22">
        <v>0</v>
      </c>
      <c r="O6" s="23">
        <v>0</v>
      </c>
    </row>
    <row r="7" spans="1:22" ht="37.5" customHeight="1">
      <c r="A7" s="24">
        <v>1</v>
      </c>
      <c r="B7" s="25" t="s">
        <v>104</v>
      </c>
      <c r="C7" s="26" t="s">
        <v>152</v>
      </c>
      <c r="D7" s="27">
        <f>((I7*$I$6+J7*$J$6+K7*K6+L7*$L$6+M7*$M$6+N7*$N$6+O7*$O$6)*0.001)*P7</f>
        <v>2.60998</v>
      </c>
      <c r="E7" s="28" t="s">
        <v>132</v>
      </c>
      <c r="F7" s="29">
        <v>1527.47</v>
      </c>
      <c r="G7" s="30">
        <f>ROUND(D7*F7,2)</f>
        <v>3986.67</v>
      </c>
      <c r="H7" s="86"/>
      <c r="I7" s="32">
        <v>585.28</v>
      </c>
      <c r="J7" s="33">
        <v>137.25</v>
      </c>
      <c r="K7" s="33">
        <v>378.8</v>
      </c>
      <c r="L7" s="33">
        <f>2988.78-K7</f>
        <v>2609.98</v>
      </c>
      <c r="M7" s="33">
        <v>1659.2</v>
      </c>
      <c r="N7" s="33">
        <v>46.13</v>
      </c>
      <c r="O7" s="34">
        <v>70.15</v>
      </c>
      <c r="P7" s="35">
        <v>1</v>
      </c>
      <c r="V7" s="132"/>
    </row>
    <row r="8" spans="1:16" ht="37.5" customHeight="1">
      <c r="A8" s="36">
        <f>A7+1</f>
        <v>2</v>
      </c>
      <c r="B8" s="37" t="s">
        <v>121</v>
      </c>
      <c r="C8" s="38" t="s">
        <v>153</v>
      </c>
      <c r="D8" s="39">
        <f>(I8*$I$6+J8*$J$6+L8*$L$6+M8*$M$6+N8*$N$6+O8*$O$6)*P8</f>
        <v>40.5</v>
      </c>
      <c r="E8" s="40" t="s">
        <v>106</v>
      </c>
      <c r="F8" s="41">
        <v>3.41</v>
      </c>
      <c r="G8" s="42">
        <f>ROUND(D8*F8,2)</f>
        <v>138.11</v>
      </c>
      <c r="H8" s="43"/>
      <c r="I8" s="44">
        <v>0</v>
      </c>
      <c r="J8" s="45">
        <v>0</v>
      </c>
      <c r="K8" s="45"/>
      <c r="L8" s="45">
        <v>40.5</v>
      </c>
      <c r="M8" s="45">
        <v>0</v>
      </c>
      <c r="N8" s="45">
        <v>0</v>
      </c>
      <c r="O8" s="46">
        <v>0</v>
      </c>
      <c r="P8" s="47">
        <v>1</v>
      </c>
    </row>
    <row r="9" spans="1:16" ht="66.75" customHeight="1">
      <c r="A9" s="36">
        <f aca="true" t="shared" si="0" ref="A9:A35">A8+1</f>
        <v>3</v>
      </c>
      <c r="B9" s="37" t="s">
        <v>121</v>
      </c>
      <c r="C9" s="38" t="s">
        <v>240</v>
      </c>
      <c r="D9" s="39">
        <f aca="true" t="shared" si="1" ref="D9:D17">(I9*$I$6+J9*$J$6+L9*$L$6+M9*$M$6+N9*$N$6+O9*$O$6)*P9</f>
        <v>120</v>
      </c>
      <c r="E9" s="40" t="s">
        <v>106</v>
      </c>
      <c r="F9" s="41">
        <v>20.41</v>
      </c>
      <c r="G9" s="42">
        <f aca="true" t="shared" si="2" ref="G9:G35">ROUND(D9*F9,2)</f>
        <v>2449.2</v>
      </c>
      <c r="H9" s="48"/>
      <c r="I9" s="44">
        <v>0</v>
      </c>
      <c r="J9" s="45">
        <v>0</v>
      </c>
      <c r="K9" s="45"/>
      <c r="L9" s="45">
        <v>120</v>
      </c>
      <c r="M9" s="45">
        <v>0</v>
      </c>
      <c r="N9" s="45">
        <v>0</v>
      </c>
      <c r="O9" s="46">
        <v>0</v>
      </c>
      <c r="P9" s="47">
        <v>1</v>
      </c>
    </row>
    <row r="10" spans="1:16" ht="60">
      <c r="A10" s="36">
        <f t="shared" si="0"/>
        <v>4</v>
      </c>
      <c r="B10" s="37" t="s">
        <v>121</v>
      </c>
      <c r="C10" s="38" t="s">
        <v>241</v>
      </c>
      <c r="D10" s="39">
        <f t="shared" si="1"/>
        <v>2</v>
      </c>
      <c r="E10" s="40" t="s">
        <v>113</v>
      </c>
      <c r="F10" s="41">
        <v>273.85</v>
      </c>
      <c r="G10" s="42">
        <f t="shared" si="2"/>
        <v>547.7</v>
      </c>
      <c r="H10" s="43"/>
      <c r="I10" s="44">
        <v>0</v>
      </c>
      <c r="J10" s="45">
        <v>0</v>
      </c>
      <c r="K10" s="45"/>
      <c r="L10" s="45">
        <v>2</v>
      </c>
      <c r="M10" s="45">
        <v>0</v>
      </c>
      <c r="N10" s="45">
        <v>0</v>
      </c>
      <c r="O10" s="46">
        <v>0</v>
      </c>
      <c r="P10" s="47">
        <v>1</v>
      </c>
    </row>
    <row r="11" spans="1:16" ht="60">
      <c r="A11" s="36">
        <f t="shared" si="0"/>
        <v>5</v>
      </c>
      <c r="B11" s="37" t="s">
        <v>121</v>
      </c>
      <c r="C11" s="38" t="s">
        <v>242</v>
      </c>
      <c r="D11" s="39">
        <f t="shared" si="1"/>
        <v>1</v>
      </c>
      <c r="E11" s="40" t="s">
        <v>113</v>
      </c>
      <c r="F11" s="41">
        <v>689.21</v>
      </c>
      <c r="G11" s="42">
        <f t="shared" si="2"/>
        <v>689.21</v>
      </c>
      <c r="H11" s="43"/>
      <c r="I11" s="44">
        <v>1</v>
      </c>
      <c r="J11" s="45">
        <v>0</v>
      </c>
      <c r="K11" s="45"/>
      <c r="L11" s="45">
        <v>1</v>
      </c>
      <c r="M11" s="45">
        <v>0</v>
      </c>
      <c r="N11" s="45">
        <v>0</v>
      </c>
      <c r="O11" s="46">
        <v>0</v>
      </c>
      <c r="P11" s="47">
        <v>1</v>
      </c>
    </row>
    <row r="12" spans="1:16" ht="60">
      <c r="A12" s="36">
        <f t="shared" si="0"/>
        <v>6</v>
      </c>
      <c r="B12" s="37" t="s">
        <v>121</v>
      </c>
      <c r="C12" s="38" t="s">
        <v>243</v>
      </c>
      <c r="D12" s="39">
        <f t="shared" si="1"/>
        <v>2</v>
      </c>
      <c r="E12" s="40" t="s">
        <v>113</v>
      </c>
      <c r="F12" s="41">
        <v>1102.56</v>
      </c>
      <c r="G12" s="42">
        <f t="shared" si="2"/>
        <v>2205.12</v>
      </c>
      <c r="H12" s="43"/>
      <c r="I12" s="44">
        <v>0</v>
      </c>
      <c r="J12" s="45">
        <v>0</v>
      </c>
      <c r="K12" s="45"/>
      <c r="L12" s="45">
        <v>2</v>
      </c>
      <c r="M12" s="45">
        <v>1</v>
      </c>
      <c r="N12" s="45">
        <v>1</v>
      </c>
      <c r="O12" s="46">
        <v>0</v>
      </c>
      <c r="P12" s="47">
        <v>1</v>
      </c>
    </row>
    <row r="13" spans="1:16" ht="60">
      <c r="A13" s="36">
        <f t="shared" si="0"/>
        <v>7</v>
      </c>
      <c r="B13" s="37" t="s">
        <v>121</v>
      </c>
      <c r="C13" s="38" t="s">
        <v>244</v>
      </c>
      <c r="D13" s="39">
        <f t="shared" si="1"/>
        <v>4</v>
      </c>
      <c r="E13" s="40" t="s">
        <v>113</v>
      </c>
      <c r="F13" s="41">
        <v>1235.69</v>
      </c>
      <c r="G13" s="42">
        <f t="shared" si="2"/>
        <v>4942.76</v>
      </c>
      <c r="H13" s="43"/>
      <c r="I13" s="44">
        <v>0</v>
      </c>
      <c r="J13" s="45">
        <v>0</v>
      </c>
      <c r="K13" s="45"/>
      <c r="L13" s="45">
        <v>4</v>
      </c>
      <c r="M13" s="45">
        <v>0</v>
      </c>
      <c r="N13" s="45">
        <v>0</v>
      </c>
      <c r="O13" s="46">
        <v>0</v>
      </c>
      <c r="P13" s="47">
        <v>1</v>
      </c>
    </row>
    <row r="14" spans="1:16" ht="60">
      <c r="A14" s="36">
        <f t="shared" si="0"/>
        <v>8</v>
      </c>
      <c r="B14" s="37" t="s">
        <v>121</v>
      </c>
      <c r="C14" s="38" t="s">
        <v>245</v>
      </c>
      <c r="D14" s="39">
        <f t="shared" si="1"/>
        <v>4</v>
      </c>
      <c r="E14" s="40" t="s">
        <v>113</v>
      </c>
      <c r="F14" s="41">
        <v>1663.21</v>
      </c>
      <c r="G14" s="42">
        <f t="shared" si="2"/>
        <v>6652.84</v>
      </c>
      <c r="H14" s="43"/>
      <c r="I14" s="44">
        <v>0</v>
      </c>
      <c r="J14" s="45">
        <v>0</v>
      </c>
      <c r="K14" s="45"/>
      <c r="L14" s="45">
        <v>4</v>
      </c>
      <c r="M14" s="45">
        <v>0</v>
      </c>
      <c r="N14" s="45">
        <v>0</v>
      </c>
      <c r="O14" s="46">
        <v>0</v>
      </c>
      <c r="P14" s="47">
        <v>1</v>
      </c>
    </row>
    <row r="15" spans="1:16" ht="60">
      <c r="A15" s="36">
        <f t="shared" si="0"/>
        <v>9</v>
      </c>
      <c r="B15" s="37" t="s">
        <v>121</v>
      </c>
      <c r="C15" s="38" t="s">
        <v>246</v>
      </c>
      <c r="D15" s="39">
        <f t="shared" si="1"/>
        <v>3</v>
      </c>
      <c r="E15" s="40" t="s">
        <v>113</v>
      </c>
      <c r="F15" s="41">
        <v>1925.46</v>
      </c>
      <c r="G15" s="42">
        <f t="shared" si="2"/>
        <v>5776.38</v>
      </c>
      <c r="H15" s="43"/>
      <c r="I15" s="44">
        <v>0</v>
      </c>
      <c r="J15" s="45">
        <v>0</v>
      </c>
      <c r="K15" s="45"/>
      <c r="L15" s="45">
        <v>3</v>
      </c>
      <c r="M15" s="45">
        <v>2</v>
      </c>
      <c r="N15" s="45">
        <v>0</v>
      </c>
      <c r="O15" s="46">
        <v>0</v>
      </c>
      <c r="P15" s="47">
        <v>1</v>
      </c>
    </row>
    <row r="16" spans="1:16" ht="60">
      <c r="A16" s="36">
        <f t="shared" si="0"/>
        <v>10</v>
      </c>
      <c r="B16" s="37" t="s">
        <v>121</v>
      </c>
      <c r="C16" s="38" t="s">
        <v>248</v>
      </c>
      <c r="D16" s="39">
        <f t="shared" si="1"/>
        <v>2</v>
      </c>
      <c r="E16" s="40" t="s">
        <v>113</v>
      </c>
      <c r="F16" s="41">
        <v>2231.19</v>
      </c>
      <c r="G16" s="42">
        <f t="shared" si="2"/>
        <v>4462.38</v>
      </c>
      <c r="H16" s="43"/>
      <c r="I16" s="44">
        <v>1</v>
      </c>
      <c r="J16" s="45">
        <v>0</v>
      </c>
      <c r="K16" s="45"/>
      <c r="L16" s="45">
        <v>2</v>
      </c>
      <c r="M16" s="45">
        <v>0</v>
      </c>
      <c r="N16" s="45">
        <v>0</v>
      </c>
      <c r="O16" s="46">
        <v>0</v>
      </c>
      <c r="P16" s="47">
        <v>1</v>
      </c>
    </row>
    <row r="17" spans="1:16" ht="64.5" customHeight="1">
      <c r="A17" s="36">
        <f t="shared" si="0"/>
        <v>11</v>
      </c>
      <c r="B17" s="37" t="s">
        <v>121</v>
      </c>
      <c r="C17" s="38" t="s">
        <v>249</v>
      </c>
      <c r="D17" s="39">
        <f t="shared" si="1"/>
        <v>1</v>
      </c>
      <c r="E17" s="40" t="s">
        <v>113</v>
      </c>
      <c r="F17" s="41">
        <v>2572.89</v>
      </c>
      <c r="G17" s="42">
        <f t="shared" si="2"/>
        <v>2572.89</v>
      </c>
      <c r="H17" s="49"/>
      <c r="I17" s="44">
        <v>0</v>
      </c>
      <c r="J17" s="45">
        <v>0</v>
      </c>
      <c r="K17" s="45"/>
      <c r="L17" s="45">
        <v>1</v>
      </c>
      <c r="M17" s="45">
        <v>0</v>
      </c>
      <c r="N17" s="45">
        <v>0</v>
      </c>
      <c r="O17" s="46">
        <v>0</v>
      </c>
      <c r="P17" s="47">
        <v>1</v>
      </c>
    </row>
    <row r="18" spans="1:16" ht="50.25" customHeight="1">
      <c r="A18" s="36">
        <f t="shared" si="0"/>
        <v>12</v>
      </c>
      <c r="B18" s="37" t="s">
        <v>124</v>
      </c>
      <c r="C18" s="38" t="s">
        <v>182</v>
      </c>
      <c r="D18" s="39">
        <f>(I18*$I$6+J18*$J$6+K18*$K$6+L18*$L$6+M18*$M$6+N18*$N$6+O18*$O$6)*P18</f>
        <v>6067.67</v>
      </c>
      <c r="E18" s="40" t="s">
        <v>106</v>
      </c>
      <c r="F18" s="41">
        <v>9.77</v>
      </c>
      <c r="G18" s="42">
        <f t="shared" si="2"/>
        <v>59281.14</v>
      </c>
      <c r="H18" s="50"/>
      <c r="I18" s="51">
        <v>508.5</v>
      </c>
      <c r="J18" s="52">
        <v>0</v>
      </c>
      <c r="K18" s="52">
        <v>26.93</v>
      </c>
      <c r="L18" s="52">
        <f>6094.6-K18</f>
        <v>6067.67</v>
      </c>
      <c r="M18" s="52">
        <v>6937.9</v>
      </c>
      <c r="N18" s="52">
        <v>185.46</v>
      </c>
      <c r="O18" s="53">
        <v>98.23</v>
      </c>
      <c r="P18" s="35">
        <v>1</v>
      </c>
    </row>
    <row r="19" spans="1:16" ht="93.75" customHeight="1">
      <c r="A19" s="36">
        <f t="shared" si="0"/>
        <v>13</v>
      </c>
      <c r="B19" s="37" t="s">
        <v>130</v>
      </c>
      <c r="C19" s="38" t="s">
        <v>226</v>
      </c>
      <c r="D19" s="39">
        <f aca="true" t="shared" si="3" ref="D19:D35">(I19*$I$6+J19*$J$6+K19*$K$6+L19*$L$6+M19*$M$6+N19*$N$6+O19*$O$6)*P19</f>
        <v>4064.1000000000004</v>
      </c>
      <c r="E19" s="40" t="s">
        <v>106</v>
      </c>
      <c r="F19" s="41">
        <v>18.9</v>
      </c>
      <c r="G19" s="42">
        <f t="shared" si="2"/>
        <v>76811.49</v>
      </c>
      <c r="H19" s="50"/>
      <c r="I19" s="51">
        <v>0</v>
      </c>
      <c r="J19" s="52">
        <f>37.9+114.2+90+79.5</f>
        <v>321.6</v>
      </c>
      <c r="K19" s="52">
        <v>578.5</v>
      </c>
      <c r="L19" s="52">
        <f>578.5+1047.5+2342-37.9+712.5-K19</f>
        <v>4064.1000000000004</v>
      </c>
      <c r="M19" s="52">
        <v>856.06</v>
      </c>
      <c r="N19" s="52">
        <v>1437.13</v>
      </c>
      <c r="O19" s="53">
        <v>358.47</v>
      </c>
      <c r="P19" s="35">
        <v>1</v>
      </c>
    </row>
    <row r="20" spans="1:22" ht="45">
      <c r="A20" s="36">
        <f t="shared" si="0"/>
        <v>14</v>
      </c>
      <c r="B20" s="37" t="s">
        <v>130</v>
      </c>
      <c r="C20" s="38" t="s">
        <v>183</v>
      </c>
      <c r="D20" s="39">
        <f t="shared" si="3"/>
        <v>188</v>
      </c>
      <c r="E20" s="40" t="s">
        <v>106</v>
      </c>
      <c r="F20" s="41">
        <v>28.95</v>
      </c>
      <c r="G20" s="42">
        <f t="shared" si="2"/>
        <v>5442.6</v>
      </c>
      <c r="H20" s="54"/>
      <c r="I20" s="51">
        <v>0</v>
      </c>
      <c r="J20" s="52">
        <v>0</v>
      </c>
      <c r="K20" s="52">
        <v>0</v>
      </c>
      <c r="L20" s="52">
        <v>188</v>
      </c>
      <c r="M20" s="52">
        <v>0</v>
      </c>
      <c r="N20" s="52">
        <v>0</v>
      </c>
      <c r="O20" s="53">
        <v>0</v>
      </c>
      <c r="P20" s="35">
        <v>1</v>
      </c>
      <c r="V20" s="132"/>
    </row>
    <row r="21" spans="1:22" ht="75">
      <c r="A21" s="36">
        <f t="shared" si="0"/>
        <v>15</v>
      </c>
      <c r="B21" s="37" t="s">
        <v>130</v>
      </c>
      <c r="C21" s="38" t="s">
        <v>193</v>
      </c>
      <c r="D21" s="39">
        <f t="shared" si="3"/>
        <v>3351.6</v>
      </c>
      <c r="E21" s="40" t="s">
        <v>106</v>
      </c>
      <c r="F21" s="41">
        <v>8.3</v>
      </c>
      <c r="G21" s="42">
        <f t="shared" si="2"/>
        <v>27818.28</v>
      </c>
      <c r="H21" s="50"/>
      <c r="I21" s="51">
        <v>0</v>
      </c>
      <c r="J21" s="52">
        <f>37.9+114.2+90+79.5</f>
        <v>321.6</v>
      </c>
      <c r="K21" s="52">
        <v>578.5</v>
      </c>
      <c r="L21" s="52">
        <f>578.5+1047.5+2342-37.9-K21</f>
        <v>3351.6</v>
      </c>
      <c r="M21" s="52">
        <v>856.06</v>
      </c>
      <c r="N21" s="52">
        <v>1437.13</v>
      </c>
      <c r="O21" s="53">
        <v>358.47</v>
      </c>
      <c r="P21" s="35">
        <v>1</v>
      </c>
      <c r="V21" s="132"/>
    </row>
    <row r="22" spans="1:22" ht="45">
      <c r="A22" s="36">
        <f t="shared" si="0"/>
        <v>16</v>
      </c>
      <c r="B22" s="37" t="s">
        <v>130</v>
      </c>
      <c r="C22" s="38" t="s">
        <v>194</v>
      </c>
      <c r="D22" s="55">
        <f t="shared" si="3"/>
        <v>188</v>
      </c>
      <c r="E22" s="40" t="s">
        <v>106</v>
      </c>
      <c r="F22" s="56">
        <v>5.5</v>
      </c>
      <c r="G22" s="57">
        <f t="shared" si="2"/>
        <v>1034</v>
      </c>
      <c r="H22" s="31"/>
      <c r="I22" s="51">
        <v>0</v>
      </c>
      <c r="J22" s="52">
        <v>0</v>
      </c>
      <c r="K22" s="52">
        <v>0</v>
      </c>
      <c r="L22" s="52">
        <v>188</v>
      </c>
      <c r="M22" s="52">
        <v>0</v>
      </c>
      <c r="N22" s="52">
        <v>0</v>
      </c>
      <c r="O22" s="53">
        <v>0</v>
      </c>
      <c r="P22" s="35">
        <v>1</v>
      </c>
      <c r="V22" s="132"/>
    </row>
    <row r="23" spans="1:22" ht="45">
      <c r="A23" s="36">
        <f t="shared" si="0"/>
        <v>17</v>
      </c>
      <c r="B23" s="37" t="s">
        <v>130</v>
      </c>
      <c r="C23" s="38" t="s">
        <v>195</v>
      </c>
      <c r="D23" s="55">
        <f t="shared" si="3"/>
        <v>9552.75</v>
      </c>
      <c r="E23" s="40" t="s">
        <v>106</v>
      </c>
      <c r="F23" s="56">
        <v>7.45</v>
      </c>
      <c r="G23" s="57">
        <f t="shared" si="2"/>
        <v>71167.99</v>
      </c>
      <c r="H23" s="31"/>
      <c r="I23" s="51">
        <v>1947</v>
      </c>
      <c r="J23" s="52">
        <v>640.75</v>
      </c>
      <c r="K23" s="52">
        <v>801.4</v>
      </c>
      <c r="L23" s="52">
        <f>1475.6+5726.9+3792.4-640.75-K23</f>
        <v>9552.75</v>
      </c>
      <c r="M23" s="52">
        <v>0</v>
      </c>
      <c r="N23" s="52">
        <v>686.02</v>
      </c>
      <c r="O23" s="53">
        <v>16.72</v>
      </c>
      <c r="P23" s="35">
        <v>1</v>
      </c>
      <c r="V23" s="132"/>
    </row>
    <row r="24" spans="1:22" ht="60">
      <c r="A24" s="36">
        <f t="shared" si="0"/>
        <v>18</v>
      </c>
      <c r="B24" s="37" t="s">
        <v>130</v>
      </c>
      <c r="C24" s="38" t="s">
        <v>196</v>
      </c>
      <c r="D24" s="55">
        <f t="shared" si="3"/>
        <v>835.3499999999999</v>
      </c>
      <c r="E24" s="40" t="s">
        <v>106</v>
      </c>
      <c r="F24" s="56">
        <v>6.5</v>
      </c>
      <c r="G24" s="57">
        <f t="shared" si="2"/>
        <v>5429.78</v>
      </c>
      <c r="H24" s="58"/>
      <c r="I24" s="51">
        <v>155.5</v>
      </c>
      <c r="J24" s="52">
        <v>110.7</v>
      </c>
      <c r="K24" s="52">
        <v>976.05</v>
      </c>
      <c r="L24" s="52">
        <f>1189.9+304.8+427.4-110.7-K24</f>
        <v>835.3499999999999</v>
      </c>
      <c r="M24" s="52">
        <v>2708.8</v>
      </c>
      <c r="N24" s="52">
        <v>325.68</v>
      </c>
      <c r="O24" s="53">
        <v>0</v>
      </c>
      <c r="P24" s="35">
        <v>1</v>
      </c>
      <c r="V24" s="132"/>
    </row>
    <row r="25" spans="1:22" ht="45">
      <c r="A25" s="36">
        <f t="shared" si="0"/>
        <v>19</v>
      </c>
      <c r="B25" s="37" t="s">
        <v>130</v>
      </c>
      <c r="C25" s="38" t="s">
        <v>197</v>
      </c>
      <c r="D25" s="39">
        <f t="shared" si="3"/>
        <v>421.1</v>
      </c>
      <c r="E25" s="40" t="s">
        <v>106</v>
      </c>
      <c r="F25" s="41">
        <v>7.8</v>
      </c>
      <c r="G25" s="42">
        <f t="shared" si="2"/>
        <v>3284.58</v>
      </c>
      <c r="H25" s="31"/>
      <c r="I25" s="51">
        <v>87.5</v>
      </c>
      <c r="J25" s="52">
        <v>0</v>
      </c>
      <c r="K25" s="52">
        <v>11.4</v>
      </c>
      <c r="L25" s="52">
        <f>11.4+68.8+352.3-K25</f>
        <v>421.1</v>
      </c>
      <c r="M25" s="52">
        <v>0</v>
      </c>
      <c r="N25" s="52">
        <v>0</v>
      </c>
      <c r="O25" s="53">
        <v>297.11</v>
      </c>
      <c r="P25" s="35">
        <v>1</v>
      </c>
      <c r="V25" s="132"/>
    </row>
    <row r="26" spans="1:22" ht="30">
      <c r="A26" s="36">
        <f t="shared" si="0"/>
        <v>20</v>
      </c>
      <c r="B26" s="37" t="s">
        <v>130</v>
      </c>
      <c r="C26" s="38" t="s">
        <v>154</v>
      </c>
      <c r="D26" s="39">
        <f t="shared" si="3"/>
        <v>203.99999999999997</v>
      </c>
      <c r="E26" s="40" t="s">
        <v>106</v>
      </c>
      <c r="F26" s="41">
        <v>9.47</v>
      </c>
      <c r="G26" s="42">
        <f t="shared" si="2"/>
        <v>1931.88</v>
      </c>
      <c r="H26" s="54"/>
      <c r="I26" s="51">
        <v>4404.5</v>
      </c>
      <c r="J26" s="52">
        <v>0</v>
      </c>
      <c r="K26" s="52">
        <v>13.6</v>
      </c>
      <c r="L26" s="52">
        <f>13.6+166.7+37.3-K26</f>
        <v>203.99999999999997</v>
      </c>
      <c r="M26" s="52">
        <v>0</v>
      </c>
      <c r="N26" s="52">
        <v>0</v>
      </c>
      <c r="O26" s="53">
        <v>0</v>
      </c>
      <c r="P26" s="35">
        <v>1</v>
      </c>
      <c r="V26" s="132"/>
    </row>
    <row r="27" spans="1:22" ht="45">
      <c r="A27" s="36">
        <f t="shared" si="0"/>
        <v>21</v>
      </c>
      <c r="B27" s="37" t="s">
        <v>130</v>
      </c>
      <c r="C27" s="38" t="s">
        <v>222</v>
      </c>
      <c r="D27" s="39">
        <f t="shared" si="3"/>
        <v>574.7</v>
      </c>
      <c r="E27" s="40" t="s">
        <v>106</v>
      </c>
      <c r="F27" s="41">
        <v>7.6</v>
      </c>
      <c r="G27" s="42">
        <f t="shared" si="2"/>
        <v>4367.72</v>
      </c>
      <c r="H27" s="31"/>
      <c r="I27" s="51">
        <v>514</v>
      </c>
      <c r="J27" s="52">
        <v>0</v>
      </c>
      <c r="K27" s="52">
        <v>49.5</v>
      </c>
      <c r="L27" s="52">
        <f>49.5+246.6+328.1-K27</f>
        <v>574.7</v>
      </c>
      <c r="M27" s="52">
        <v>0</v>
      </c>
      <c r="N27" s="52">
        <v>0</v>
      </c>
      <c r="O27" s="53">
        <v>0</v>
      </c>
      <c r="P27" s="35">
        <v>1</v>
      </c>
      <c r="V27" s="132"/>
    </row>
    <row r="28" spans="1:22" ht="45">
      <c r="A28" s="36">
        <f t="shared" si="0"/>
        <v>22</v>
      </c>
      <c r="B28" s="37" t="s">
        <v>130</v>
      </c>
      <c r="C28" s="38" t="s">
        <v>223</v>
      </c>
      <c r="D28" s="39">
        <f t="shared" si="3"/>
        <v>0</v>
      </c>
      <c r="E28" s="40" t="s">
        <v>106</v>
      </c>
      <c r="F28" s="41">
        <v>7.25</v>
      </c>
      <c r="G28" s="42">
        <f t="shared" si="2"/>
        <v>0</v>
      </c>
      <c r="H28" s="31"/>
      <c r="I28" s="51">
        <v>1008.5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3">
        <v>0</v>
      </c>
      <c r="P28" s="35">
        <v>1</v>
      </c>
      <c r="V28" s="132"/>
    </row>
    <row r="29" spans="1:22" ht="36" customHeight="1">
      <c r="A29" s="36">
        <f t="shared" si="0"/>
        <v>23</v>
      </c>
      <c r="B29" s="37" t="s">
        <v>130</v>
      </c>
      <c r="C29" s="38" t="s">
        <v>224</v>
      </c>
      <c r="D29" s="39">
        <f t="shared" si="3"/>
        <v>48.1</v>
      </c>
      <c r="E29" s="40" t="s">
        <v>106</v>
      </c>
      <c r="F29" s="41">
        <v>8.6</v>
      </c>
      <c r="G29" s="42">
        <f t="shared" si="2"/>
        <v>413.66</v>
      </c>
      <c r="H29" s="31"/>
      <c r="I29" s="51">
        <v>0</v>
      </c>
      <c r="J29" s="52">
        <v>0</v>
      </c>
      <c r="K29" s="52">
        <v>0</v>
      </c>
      <c r="L29" s="52">
        <v>48.1</v>
      </c>
      <c r="M29" s="52">
        <v>0</v>
      </c>
      <c r="N29" s="52">
        <v>0</v>
      </c>
      <c r="O29" s="53">
        <v>0</v>
      </c>
      <c r="P29" s="35">
        <v>1</v>
      </c>
      <c r="V29" s="132"/>
    </row>
    <row r="30" spans="1:22" ht="45">
      <c r="A30" s="36">
        <f t="shared" si="0"/>
        <v>24</v>
      </c>
      <c r="B30" s="37" t="s">
        <v>130</v>
      </c>
      <c r="C30" s="38" t="s">
        <v>198</v>
      </c>
      <c r="D30" s="39">
        <f t="shared" si="3"/>
        <v>221.75</v>
      </c>
      <c r="E30" s="40" t="s">
        <v>106</v>
      </c>
      <c r="F30" s="41">
        <v>4.15</v>
      </c>
      <c r="G30" s="42">
        <f t="shared" si="2"/>
        <v>920.26</v>
      </c>
      <c r="H30" s="31"/>
      <c r="I30" s="51">
        <v>18</v>
      </c>
      <c r="J30" s="52">
        <v>0</v>
      </c>
      <c r="K30" s="52">
        <v>0</v>
      </c>
      <c r="L30" s="52">
        <f>145.5+27.6+48.65</f>
        <v>221.75</v>
      </c>
      <c r="M30" s="52">
        <v>0</v>
      </c>
      <c r="N30" s="52">
        <v>0</v>
      </c>
      <c r="O30" s="53">
        <v>0</v>
      </c>
      <c r="P30" s="35">
        <v>1</v>
      </c>
      <c r="V30" s="132"/>
    </row>
    <row r="31" spans="1:22" ht="48.75" customHeight="1">
      <c r="A31" s="36">
        <f t="shared" si="0"/>
        <v>25</v>
      </c>
      <c r="B31" s="37" t="s">
        <v>130</v>
      </c>
      <c r="C31" s="38" t="s">
        <v>199</v>
      </c>
      <c r="D31" s="39">
        <f t="shared" si="3"/>
        <v>115.7</v>
      </c>
      <c r="E31" s="40" t="s">
        <v>106</v>
      </c>
      <c r="F31" s="41">
        <v>5.9</v>
      </c>
      <c r="G31" s="42">
        <f t="shared" si="2"/>
        <v>682.63</v>
      </c>
      <c r="H31" s="31"/>
      <c r="I31" s="51">
        <v>0</v>
      </c>
      <c r="J31" s="52">
        <v>0</v>
      </c>
      <c r="K31" s="52">
        <v>0</v>
      </c>
      <c r="L31" s="52">
        <v>115.7</v>
      </c>
      <c r="M31" s="52">
        <v>0</v>
      </c>
      <c r="N31" s="52">
        <v>0</v>
      </c>
      <c r="O31" s="53">
        <v>0</v>
      </c>
      <c r="P31" s="35">
        <v>1</v>
      </c>
      <c r="V31" s="132"/>
    </row>
    <row r="32" spans="1:22" ht="51" customHeight="1">
      <c r="A32" s="36">
        <f t="shared" si="0"/>
        <v>26</v>
      </c>
      <c r="B32" s="37" t="s">
        <v>130</v>
      </c>
      <c r="C32" s="38" t="s">
        <v>225</v>
      </c>
      <c r="D32" s="39">
        <f t="shared" si="3"/>
        <v>757.45</v>
      </c>
      <c r="E32" s="40" t="s">
        <v>105</v>
      </c>
      <c r="F32" s="41">
        <v>5.6</v>
      </c>
      <c r="G32" s="42">
        <f t="shared" si="2"/>
        <v>4241.72</v>
      </c>
      <c r="H32" s="31"/>
      <c r="I32" s="51">
        <v>1217.5</v>
      </c>
      <c r="J32" s="52">
        <v>114.15</v>
      </c>
      <c r="K32" s="52">
        <v>198.8</v>
      </c>
      <c r="L32" s="52">
        <f>373.2+697.2-114.15-K32</f>
        <v>757.45</v>
      </c>
      <c r="M32" s="52">
        <v>0</v>
      </c>
      <c r="N32" s="52">
        <v>184.28</v>
      </c>
      <c r="O32" s="53">
        <v>0</v>
      </c>
      <c r="P32" s="35">
        <v>1</v>
      </c>
      <c r="V32" s="132"/>
    </row>
    <row r="33" spans="1:22" ht="36" customHeight="1">
      <c r="A33" s="36">
        <f t="shared" si="0"/>
        <v>27</v>
      </c>
      <c r="B33" s="37" t="s">
        <v>130</v>
      </c>
      <c r="C33" s="38" t="s">
        <v>155</v>
      </c>
      <c r="D33" s="39">
        <f t="shared" si="3"/>
        <v>4160.21</v>
      </c>
      <c r="E33" s="40" t="s">
        <v>105</v>
      </c>
      <c r="F33" s="41">
        <v>5.6</v>
      </c>
      <c r="G33" s="42">
        <f t="shared" si="2"/>
        <v>23297.18</v>
      </c>
      <c r="H33" s="54"/>
      <c r="I33" s="51">
        <v>0</v>
      </c>
      <c r="J33" s="52">
        <v>105.84</v>
      </c>
      <c r="K33" s="52">
        <v>653.15</v>
      </c>
      <c r="L33" s="52">
        <f>852+617.2+3450-105.84-K33</f>
        <v>4160.21</v>
      </c>
      <c r="M33" s="52">
        <v>0</v>
      </c>
      <c r="N33" s="52">
        <v>191.75</v>
      </c>
      <c r="O33" s="53">
        <v>94.16</v>
      </c>
      <c r="P33" s="35">
        <v>1</v>
      </c>
      <c r="V33" s="132"/>
    </row>
    <row r="34" spans="1:22" ht="49.5" customHeight="1">
      <c r="A34" s="36">
        <f t="shared" si="0"/>
        <v>28</v>
      </c>
      <c r="B34" s="37" t="s">
        <v>130</v>
      </c>
      <c r="C34" s="38" t="s">
        <v>200</v>
      </c>
      <c r="D34" s="39">
        <f t="shared" si="3"/>
        <v>215.2</v>
      </c>
      <c r="E34" s="40" t="s">
        <v>105</v>
      </c>
      <c r="F34" s="41">
        <v>4.5</v>
      </c>
      <c r="G34" s="42">
        <f t="shared" si="2"/>
        <v>968.4</v>
      </c>
      <c r="H34" s="31"/>
      <c r="I34" s="51">
        <v>62</v>
      </c>
      <c r="J34" s="52">
        <v>0</v>
      </c>
      <c r="K34" s="52">
        <v>0</v>
      </c>
      <c r="L34" s="52">
        <f>155.1+60.1</f>
        <v>215.2</v>
      </c>
      <c r="M34" s="52">
        <v>0</v>
      </c>
      <c r="N34" s="52">
        <v>0</v>
      </c>
      <c r="O34" s="53">
        <v>0</v>
      </c>
      <c r="P34" s="35">
        <v>1</v>
      </c>
      <c r="V34" s="132"/>
    </row>
    <row r="35" spans="1:22" ht="45.75" thickBot="1">
      <c r="A35" s="36">
        <f t="shared" si="0"/>
        <v>29</v>
      </c>
      <c r="B35" s="37" t="s">
        <v>130</v>
      </c>
      <c r="C35" s="38" t="s">
        <v>201</v>
      </c>
      <c r="D35" s="39">
        <f t="shared" si="3"/>
        <v>4694.95</v>
      </c>
      <c r="E35" s="40" t="s">
        <v>105</v>
      </c>
      <c r="F35" s="41">
        <v>3</v>
      </c>
      <c r="G35" s="42">
        <f t="shared" si="2"/>
        <v>14084.85</v>
      </c>
      <c r="H35" s="58"/>
      <c r="I35" s="51">
        <v>906.5</v>
      </c>
      <c r="J35" s="52">
        <v>96.05</v>
      </c>
      <c r="K35" s="52">
        <v>361.4</v>
      </c>
      <c r="L35" s="52">
        <f>410.9+2300.9+2440.6-96.05-K35</f>
        <v>4694.95</v>
      </c>
      <c r="M35" s="52">
        <v>2072.1</v>
      </c>
      <c r="N35" s="52">
        <v>177.06</v>
      </c>
      <c r="O35" s="53">
        <v>8.3</v>
      </c>
      <c r="P35" s="35">
        <v>1</v>
      </c>
      <c r="V35" s="132"/>
    </row>
    <row r="36" spans="1:22" ht="19.5" thickBot="1">
      <c r="A36" s="20" t="s">
        <v>107</v>
      </c>
      <c r="B36" s="227" t="s">
        <v>108</v>
      </c>
      <c r="C36" s="227"/>
      <c r="D36" s="227"/>
      <c r="E36" s="211"/>
      <c r="F36" s="211"/>
      <c r="G36" s="228"/>
      <c r="H36" s="59">
        <f>SUM(G7:G35)</f>
        <v>335601.42</v>
      </c>
      <c r="I36" s="229" t="s">
        <v>108</v>
      </c>
      <c r="J36" s="229"/>
      <c r="K36" s="229"/>
      <c r="L36" s="229"/>
      <c r="M36" s="229"/>
      <c r="N36" s="229"/>
      <c r="O36" s="230"/>
      <c r="P36" s="60"/>
      <c r="V36" s="132"/>
    </row>
    <row r="37" spans="1:22" ht="75.75" thickBot="1">
      <c r="A37" s="36">
        <f>A35+1</f>
        <v>30</v>
      </c>
      <c r="B37" s="37" t="s">
        <v>125</v>
      </c>
      <c r="C37" s="61" t="s">
        <v>275</v>
      </c>
      <c r="D37" s="39">
        <f>((I37*$I$6+J37*$J$6+K37*$K$6+L37*$L$6+M37*$M$6+N37*$N$6+O37*$O$6)*0.1)*P37</f>
        <v>1399.49</v>
      </c>
      <c r="E37" s="62" t="s">
        <v>109</v>
      </c>
      <c r="F37" s="41">
        <v>73.85</v>
      </c>
      <c r="G37" s="42">
        <f>ROUND(D37*F37,2)</f>
        <v>103352.34</v>
      </c>
      <c r="H37" s="50"/>
      <c r="I37" s="51">
        <f>I83</f>
        <v>1393.3</v>
      </c>
      <c r="J37" s="52">
        <f>J77+J83</f>
        <v>664.4</v>
      </c>
      <c r="K37" s="52">
        <f>K77+K83</f>
        <v>1196.65</v>
      </c>
      <c r="L37" s="52">
        <f>L77+L83</f>
        <v>13994.9</v>
      </c>
      <c r="M37" s="52">
        <f>M72</f>
        <v>3558.9</v>
      </c>
      <c r="N37" s="52">
        <f>N77+N83</f>
        <v>0</v>
      </c>
      <c r="O37" s="53">
        <f>O77+O83</f>
        <v>29.599999999999998</v>
      </c>
      <c r="P37" s="35">
        <v>1</v>
      </c>
      <c r="V37" s="132"/>
    </row>
    <row r="38" spans="1:22" ht="19.5" thickBot="1">
      <c r="A38" s="20" t="s">
        <v>110</v>
      </c>
      <c r="B38" s="211" t="s">
        <v>123</v>
      </c>
      <c r="C38" s="212"/>
      <c r="D38" s="212"/>
      <c r="E38" s="212"/>
      <c r="F38" s="212"/>
      <c r="G38" s="213"/>
      <c r="H38" s="59">
        <f>G37</f>
        <v>103352.34</v>
      </c>
      <c r="I38" s="214" t="s">
        <v>123</v>
      </c>
      <c r="J38" s="215"/>
      <c r="K38" s="215"/>
      <c r="L38" s="215"/>
      <c r="M38" s="215"/>
      <c r="N38" s="215"/>
      <c r="O38" s="216"/>
      <c r="P38" s="60"/>
      <c r="V38" s="132"/>
    </row>
    <row r="39" spans="1:22" ht="30">
      <c r="A39" s="36">
        <f>A37+1</f>
        <v>31</v>
      </c>
      <c r="B39" s="37" t="s">
        <v>133</v>
      </c>
      <c r="C39" s="61" t="s">
        <v>250</v>
      </c>
      <c r="D39" s="39">
        <f aca="true" t="shared" si="4" ref="D39:D54">(I39*$I$6+J39*$J$6+K39*$K$6+L39*$L$6+M39*$M$6+N39*$N$6+O39*$O$6)*P39</f>
        <v>39</v>
      </c>
      <c r="E39" s="62" t="s">
        <v>135</v>
      </c>
      <c r="F39" s="41">
        <v>340</v>
      </c>
      <c r="G39" s="42">
        <f aca="true" t="shared" si="5" ref="G39:G54">ROUND(D39*F39,2)</f>
        <v>13260</v>
      </c>
      <c r="H39" s="31"/>
      <c r="I39" s="63">
        <v>18</v>
      </c>
      <c r="J39" s="64">
        <v>5</v>
      </c>
      <c r="K39" s="64">
        <v>9</v>
      </c>
      <c r="L39" s="64">
        <f>(9+20+19)-K39</f>
        <v>39</v>
      </c>
      <c r="M39" s="64">
        <v>0</v>
      </c>
      <c r="N39" s="64">
        <v>13</v>
      </c>
      <c r="O39" s="65">
        <v>0</v>
      </c>
      <c r="P39" s="35">
        <v>1</v>
      </c>
      <c r="V39" s="132"/>
    </row>
    <row r="40" spans="1:22" ht="45">
      <c r="A40" s="36">
        <f>A39+1</f>
        <v>32</v>
      </c>
      <c r="B40" s="37" t="s">
        <v>133</v>
      </c>
      <c r="C40" s="61" t="s">
        <v>251</v>
      </c>
      <c r="D40" s="39">
        <f t="shared" si="4"/>
        <v>24.96</v>
      </c>
      <c r="E40" s="62" t="s">
        <v>109</v>
      </c>
      <c r="F40" s="41">
        <v>67.5</v>
      </c>
      <c r="G40" s="42">
        <f t="shared" si="5"/>
        <v>1684.8</v>
      </c>
      <c r="H40" s="31"/>
      <c r="I40" s="66">
        <f>(I39-1)*0.64</f>
        <v>10.88</v>
      </c>
      <c r="J40" s="67">
        <f aca="true" t="shared" si="6" ref="J40:O40">J39*0.64</f>
        <v>3.2</v>
      </c>
      <c r="K40" s="67">
        <f t="shared" si="6"/>
        <v>5.76</v>
      </c>
      <c r="L40" s="64">
        <f t="shared" si="6"/>
        <v>24.96</v>
      </c>
      <c r="M40" s="68">
        <f t="shared" si="6"/>
        <v>0</v>
      </c>
      <c r="N40" s="64">
        <f t="shared" si="6"/>
        <v>8.32</v>
      </c>
      <c r="O40" s="69">
        <f t="shared" si="6"/>
        <v>0</v>
      </c>
      <c r="P40" s="35">
        <v>1</v>
      </c>
      <c r="V40" s="132"/>
    </row>
    <row r="41" spans="1:22" ht="45">
      <c r="A41" s="36">
        <f aca="true" t="shared" si="7" ref="A41:A54">A40+1</f>
        <v>33</v>
      </c>
      <c r="B41" s="37" t="s">
        <v>133</v>
      </c>
      <c r="C41" s="61" t="s">
        <v>134</v>
      </c>
      <c r="D41" s="39">
        <f t="shared" si="4"/>
        <v>78</v>
      </c>
      <c r="E41" s="62" t="s">
        <v>109</v>
      </c>
      <c r="F41" s="41">
        <v>54</v>
      </c>
      <c r="G41" s="42">
        <f t="shared" si="5"/>
        <v>4212</v>
      </c>
      <c r="H41" s="31"/>
      <c r="I41" s="66">
        <f>(I39-1)*2</f>
        <v>34</v>
      </c>
      <c r="J41" s="67">
        <f aca="true" t="shared" si="8" ref="J41:O41">J39*2</f>
        <v>10</v>
      </c>
      <c r="K41" s="67">
        <f t="shared" si="8"/>
        <v>18</v>
      </c>
      <c r="L41" s="67">
        <f t="shared" si="8"/>
        <v>78</v>
      </c>
      <c r="M41" s="67">
        <f t="shared" si="8"/>
        <v>0</v>
      </c>
      <c r="N41" s="64">
        <f t="shared" si="8"/>
        <v>26</v>
      </c>
      <c r="O41" s="69">
        <f t="shared" si="8"/>
        <v>0</v>
      </c>
      <c r="P41" s="35">
        <v>1</v>
      </c>
      <c r="V41" s="132"/>
    </row>
    <row r="42" spans="1:22" ht="45">
      <c r="A42" s="36">
        <f t="shared" si="7"/>
        <v>34</v>
      </c>
      <c r="B42" s="37" t="s">
        <v>133</v>
      </c>
      <c r="C42" s="61" t="s">
        <v>252</v>
      </c>
      <c r="D42" s="39">
        <f t="shared" si="4"/>
        <v>234</v>
      </c>
      <c r="E42" s="62" t="s">
        <v>106</v>
      </c>
      <c r="F42" s="41">
        <v>4.1</v>
      </c>
      <c r="G42" s="42">
        <f t="shared" si="5"/>
        <v>959.4</v>
      </c>
      <c r="H42" s="31"/>
      <c r="I42" s="63">
        <f>(I39-1)*6</f>
        <v>102</v>
      </c>
      <c r="J42" s="68">
        <f aca="true" t="shared" si="9" ref="J42:O42">J39*6</f>
        <v>30</v>
      </c>
      <c r="K42" s="64">
        <f t="shared" si="9"/>
        <v>54</v>
      </c>
      <c r="L42" s="67">
        <f t="shared" si="9"/>
        <v>234</v>
      </c>
      <c r="M42" s="67">
        <f t="shared" si="9"/>
        <v>0</v>
      </c>
      <c r="N42" s="64">
        <f t="shared" si="9"/>
        <v>78</v>
      </c>
      <c r="O42" s="65">
        <f t="shared" si="9"/>
        <v>0</v>
      </c>
      <c r="P42" s="35">
        <v>1</v>
      </c>
      <c r="V42" s="132"/>
    </row>
    <row r="43" spans="1:22" ht="45">
      <c r="A43" s="36">
        <f t="shared" si="7"/>
        <v>35</v>
      </c>
      <c r="B43" s="37" t="s">
        <v>133</v>
      </c>
      <c r="C43" s="61" t="s">
        <v>136</v>
      </c>
      <c r="D43" s="39">
        <f t="shared" si="4"/>
        <v>78</v>
      </c>
      <c r="E43" s="62" t="s">
        <v>109</v>
      </c>
      <c r="F43" s="41">
        <v>47.3</v>
      </c>
      <c r="G43" s="42">
        <f t="shared" si="5"/>
        <v>3689.4</v>
      </c>
      <c r="H43" s="31"/>
      <c r="I43" s="63">
        <f>(I39-1)*2</f>
        <v>34</v>
      </c>
      <c r="J43" s="64">
        <f aca="true" t="shared" si="10" ref="J43:O43">J39*2</f>
        <v>10</v>
      </c>
      <c r="K43" s="64">
        <f t="shared" si="10"/>
        <v>18</v>
      </c>
      <c r="L43" s="64">
        <f t="shared" si="10"/>
        <v>78</v>
      </c>
      <c r="M43" s="64">
        <f t="shared" si="10"/>
        <v>0</v>
      </c>
      <c r="N43" s="64">
        <f t="shared" si="10"/>
        <v>26</v>
      </c>
      <c r="O43" s="65">
        <f t="shared" si="10"/>
        <v>0</v>
      </c>
      <c r="P43" s="35">
        <v>1</v>
      </c>
      <c r="V43" s="132"/>
    </row>
    <row r="44" spans="1:22" ht="26.25" customHeight="1">
      <c r="A44" s="36">
        <f t="shared" si="7"/>
        <v>36</v>
      </c>
      <c r="B44" s="37" t="s">
        <v>133</v>
      </c>
      <c r="C44" s="61" t="s">
        <v>137</v>
      </c>
      <c r="D44" s="39">
        <f t="shared" si="4"/>
        <v>115.83000000000001</v>
      </c>
      <c r="E44" s="62" t="s">
        <v>106</v>
      </c>
      <c r="F44" s="41">
        <v>18.5</v>
      </c>
      <c r="G44" s="42">
        <f t="shared" si="5"/>
        <v>2142.86</v>
      </c>
      <c r="H44" s="31"/>
      <c r="I44" s="63">
        <f>(I39-1)*2.97</f>
        <v>50.49</v>
      </c>
      <c r="J44" s="64">
        <f aca="true" t="shared" si="11" ref="J44:O44">J39*2.97</f>
        <v>14.850000000000001</v>
      </c>
      <c r="K44" s="64">
        <f t="shared" si="11"/>
        <v>26.73</v>
      </c>
      <c r="L44" s="64">
        <f t="shared" si="11"/>
        <v>115.83000000000001</v>
      </c>
      <c r="M44" s="64">
        <f t="shared" si="11"/>
        <v>0</v>
      </c>
      <c r="N44" s="64">
        <f t="shared" si="11"/>
        <v>38.61</v>
      </c>
      <c r="O44" s="65">
        <f t="shared" si="11"/>
        <v>0</v>
      </c>
      <c r="P44" s="35">
        <v>1</v>
      </c>
      <c r="V44" s="132"/>
    </row>
    <row r="45" spans="1:22" ht="60">
      <c r="A45" s="36">
        <f t="shared" si="7"/>
        <v>37</v>
      </c>
      <c r="B45" s="37" t="s">
        <v>133</v>
      </c>
      <c r="C45" s="61" t="s">
        <v>162</v>
      </c>
      <c r="D45" s="39">
        <f t="shared" si="4"/>
        <v>39</v>
      </c>
      <c r="E45" s="62" t="s">
        <v>113</v>
      </c>
      <c r="F45" s="41">
        <v>1960</v>
      </c>
      <c r="G45" s="42">
        <f t="shared" si="5"/>
        <v>76440</v>
      </c>
      <c r="H45" s="70"/>
      <c r="I45" s="63">
        <v>17</v>
      </c>
      <c r="J45" s="64">
        <v>5</v>
      </c>
      <c r="K45" s="64">
        <v>9</v>
      </c>
      <c r="L45" s="64">
        <f>(9+20+19)-K45</f>
        <v>39</v>
      </c>
      <c r="M45" s="64">
        <v>0</v>
      </c>
      <c r="N45" s="64">
        <v>13</v>
      </c>
      <c r="O45" s="65">
        <v>0</v>
      </c>
      <c r="P45" s="35">
        <v>1</v>
      </c>
      <c r="V45" s="132"/>
    </row>
    <row r="46" spans="1:22" ht="45">
      <c r="A46" s="36">
        <f t="shared" si="7"/>
        <v>38</v>
      </c>
      <c r="B46" s="37" t="s">
        <v>133</v>
      </c>
      <c r="C46" s="61" t="s">
        <v>253</v>
      </c>
      <c r="D46" s="55">
        <f t="shared" si="4"/>
        <v>486.33000000000004</v>
      </c>
      <c r="E46" s="40" t="s">
        <v>106</v>
      </c>
      <c r="F46" s="56">
        <v>81</v>
      </c>
      <c r="G46" s="57">
        <f t="shared" si="5"/>
        <v>39392.73</v>
      </c>
      <c r="H46" s="31"/>
      <c r="I46" s="63">
        <f>(I39-1)*12.47</f>
        <v>211.99</v>
      </c>
      <c r="J46" s="64">
        <f aca="true" t="shared" si="12" ref="J46:O46">J39*12.47</f>
        <v>62.35</v>
      </c>
      <c r="K46" s="64">
        <f t="shared" si="12"/>
        <v>112.23</v>
      </c>
      <c r="L46" s="64">
        <f t="shared" si="12"/>
        <v>486.33000000000004</v>
      </c>
      <c r="M46" s="64">
        <f t="shared" si="12"/>
        <v>0</v>
      </c>
      <c r="N46" s="64">
        <f t="shared" si="12"/>
        <v>162.11</v>
      </c>
      <c r="O46" s="65">
        <f t="shared" si="12"/>
        <v>0</v>
      </c>
      <c r="P46" s="35">
        <v>1</v>
      </c>
      <c r="V46" s="132"/>
    </row>
    <row r="47" spans="1:22" ht="36" customHeight="1">
      <c r="A47" s="36">
        <f t="shared" si="7"/>
        <v>39</v>
      </c>
      <c r="B47" s="37" t="s">
        <v>138</v>
      </c>
      <c r="C47" s="61" t="s">
        <v>161</v>
      </c>
      <c r="D47" s="55">
        <f t="shared" si="4"/>
        <v>24</v>
      </c>
      <c r="E47" s="40" t="s">
        <v>135</v>
      </c>
      <c r="F47" s="56">
        <v>340</v>
      </c>
      <c r="G47" s="57">
        <f t="shared" si="5"/>
        <v>8160</v>
      </c>
      <c r="H47" s="31"/>
      <c r="I47" s="63">
        <v>7</v>
      </c>
      <c r="J47" s="64">
        <v>8</v>
      </c>
      <c r="K47" s="64">
        <v>3</v>
      </c>
      <c r="L47" s="64">
        <f>(3+13+11)-K47</f>
        <v>24</v>
      </c>
      <c r="M47" s="64">
        <v>0</v>
      </c>
      <c r="N47" s="64">
        <v>0</v>
      </c>
      <c r="O47" s="65">
        <v>0</v>
      </c>
      <c r="P47" s="35">
        <v>1</v>
      </c>
      <c r="V47" s="132"/>
    </row>
    <row r="48" spans="1:22" ht="36" customHeight="1">
      <c r="A48" s="36">
        <f t="shared" si="7"/>
        <v>40</v>
      </c>
      <c r="B48" s="37" t="s">
        <v>138</v>
      </c>
      <c r="C48" s="61" t="s">
        <v>254</v>
      </c>
      <c r="D48" s="39">
        <f t="shared" si="4"/>
        <v>4</v>
      </c>
      <c r="E48" s="62" t="s">
        <v>135</v>
      </c>
      <c r="F48" s="41">
        <v>162</v>
      </c>
      <c r="G48" s="42">
        <f t="shared" si="5"/>
        <v>648</v>
      </c>
      <c r="H48" s="31"/>
      <c r="I48" s="71">
        <v>19</v>
      </c>
      <c r="J48" s="72">
        <v>2</v>
      </c>
      <c r="K48" s="72">
        <v>7</v>
      </c>
      <c r="L48" s="72">
        <f>32-J48-I48-K48</f>
        <v>4</v>
      </c>
      <c r="M48" s="72">
        <v>0</v>
      </c>
      <c r="N48" s="72">
        <v>3</v>
      </c>
      <c r="O48" s="73">
        <v>0</v>
      </c>
      <c r="P48" s="35">
        <v>1</v>
      </c>
      <c r="V48" s="132"/>
    </row>
    <row r="49" spans="1:22" ht="36" customHeight="1">
      <c r="A49" s="36">
        <f t="shared" si="7"/>
        <v>41</v>
      </c>
      <c r="B49" s="37" t="s">
        <v>138</v>
      </c>
      <c r="C49" s="61" t="s">
        <v>255</v>
      </c>
      <c r="D49" s="39">
        <f t="shared" si="4"/>
        <v>32</v>
      </c>
      <c r="E49" s="62" t="s">
        <v>135</v>
      </c>
      <c r="F49" s="41">
        <v>162</v>
      </c>
      <c r="G49" s="42">
        <f t="shared" si="5"/>
        <v>5184</v>
      </c>
      <c r="H49" s="31"/>
      <c r="I49" s="71">
        <v>5</v>
      </c>
      <c r="J49" s="72">
        <v>2</v>
      </c>
      <c r="K49" s="72">
        <v>5</v>
      </c>
      <c r="L49" s="72">
        <f>44-J49-I49-K49</f>
        <v>32</v>
      </c>
      <c r="M49" s="72">
        <v>0</v>
      </c>
      <c r="N49" s="72">
        <v>2</v>
      </c>
      <c r="O49" s="73">
        <v>0</v>
      </c>
      <c r="P49" s="35">
        <v>1</v>
      </c>
      <c r="V49" s="132"/>
    </row>
    <row r="50" spans="1:22" ht="36" customHeight="1">
      <c r="A50" s="36">
        <f t="shared" si="7"/>
        <v>42</v>
      </c>
      <c r="B50" s="37" t="s">
        <v>138</v>
      </c>
      <c r="C50" s="61" t="s">
        <v>143</v>
      </c>
      <c r="D50" s="39">
        <f t="shared" si="4"/>
        <v>57</v>
      </c>
      <c r="E50" s="62" t="s">
        <v>135</v>
      </c>
      <c r="F50" s="41">
        <v>135</v>
      </c>
      <c r="G50" s="42">
        <f t="shared" si="5"/>
        <v>7695</v>
      </c>
      <c r="H50" s="31"/>
      <c r="I50" s="71">
        <v>3</v>
      </c>
      <c r="J50" s="72">
        <v>4</v>
      </c>
      <c r="K50" s="72">
        <v>8</v>
      </c>
      <c r="L50" s="72">
        <f>72-J50-I50-K50</f>
        <v>57</v>
      </c>
      <c r="M50" s="72">
        <v>0</v>
      </c>
      <c r="N50" s="72">
        <v>4</v>
      </c>
      <c r="O50" s="73">
        <v>0</v>
      </c>
      <c r="P50" s="35">
        <v>1</v>
      </c>
      <c r="V50" s="132"/>
    </row>
    <row r="51" spans="1:22" ht="36" customHeight="1">
      <c r="A51" s="36">
        <f t="shared" si="7"/>
        <v>43</v>
      </c>
      <c r="B51" s="37" t="s">
        <v>138</v>
      </c>
      <c r="C51" s="61" t="s">
        <v>144</v>
      </c>
      <c r="D51" s="39">
        <f t="shared" si="4"/>
        <v>37</v>
      </c>
      <c r="E51" s="62" t="s">
        <v>135</v>
      </c>
      <c r="F51" s="41">
        <v>135</v>
      </c>
      <c r="G51" s="42">
        <f t="shared" si="5"/>
        <v>4995</v>
      </c>
      <c r="H51" s="31"/>
      <c r="I51" s="71">
        <v>16</v>
      </c>
      <c r="J51" s="72">
        <v>5</v>
      </c>
      <c r="K51" s="72">
        <v>15</v>
      </c>
      <c r="L51" s="72">
        <f>73-J51-I51-K51</f>
        <v>37</v>
      </c>
      <c r="M51" s="72">
        <v>0</v>
      </c>
      <c r="N51" s="72">
        <v>5</v>
      </c>
      <c r="O51" s="73">
        <v>0</v>
      </c>
      <c r="P51" s="35">
        <v>1</v>
      </c>
      <c r="V51" s="132"/>
    </row>
    <row r="52" spans="1:22" ht="36" customHeight="1">
      <c r="A52" s="36">
        <f t="shared" si="7"/>
        <v>44</v>
      </c>
      <c r="B52" s="37" t="s">
        <v>138</v>
      </c>
      <c r="C52" s="61" t="s">
        <v>256</v>
      </c>
      <c r="D52" s="39">
        <f t="shared" si="4"/>
        <v>82</v>
      </c>
      <c r="E52" s="62" t="s">
        <v>135</v>
      </c>
      <c r="F52" s="41">
        <v>190</v>
      </c>
      <c r="G52" s="42">
        <f t="shared" si="5"/>
        <v>15580</v>
      </c>
      <c r="H52" s="31"/>
      <c r="I52" s="71">
        <v>20</v>
      </c>
      <c r="J52" s="72">
        <v>12</v>
      </c>
      <c r="K52" s="72">
        <v>21</v>
      </c>
      <c r="L52" s="72">
        <f>135-12-20-K52</f>
        <v>82</v>
      </c>
      <c r="M52" s="72">
        <v>0</v>
      </c>
      <c r="N52" s="72">
        <v>19</v>
      </c>
      <c r="O52" s="73">
        <v>0</v>
      </c>
      <c r="P52" s="35">
        <v>1</v>
      </c>
      <c r="V52" s="132"/>
    </row>
    <row r="53" spans="1:22" ht="36" customHeight="1">
      <c r="A53" s="36">
        <f t="shared" si="7"/>
        <v>45</v>
      </c>
      <c r="B53" s="37" t="s">
        <v>138</v>
      </c>
      <c r="C53" s="61" t="s">
        <v>145</v>
      </c>
      <c r="D53" s="39">
        <f t="shared" si="4"/>
        <v>51</v>
      </c>
      <c r="E53" s="62" t="s">
        <v>135</v>
      </c>
      <c r="F53" s="41">
        <v>135</v>
      </c>
      <c r="G53" s="42">
        <f t="shared" si="5"/>
        <v>6885</v>
      </c>
      <c r="H53" s="31"/>
      <c r="I53" s="71">
        <v>2</v>
      </c>
      <c r="J53" s="72">
        <v>4</v>
      </c>
      <c r="K53" s="72">
        <v>10</v>
      </c>
      <c r="L53" s="72">
        <f>67-J53-I53-K53</f>
        <v>51</v>
      </c>
      <c r="M53" s="72">
        <v>0</v>
      </c>
      <c r="N53" s="72">
        <v>4</v>
      </c>
      <c r="O53" s="73">
        <v>0</v>
      </c>
      <c r="P53" s="35">
        <v>1</v>
      </c>
      <c r="V53" s="132"/>
    </row>
    <row r="54" spans="1:22" ht="36" customHeight="1" thickBot="1">
      <c r="A54" s="36">
        <f t="shared" si="7"/>
        <v>46</v>
      </c>
      <c r="B54" s="37" t="s">
        <v>138</v>
      </c>
      <c r="C54" s="61" t="s">
        <v>146</v>
      </c>
      <c r="D54" s="39">
        <f t="shared" si="4"/>
        <v>9</v>
      </c>
      <c r="E54" s="62" t="s">
        <v>135</v>
      </c>
      <c r="F54" s="41">
        <v>135</v>
      </c>
      <c r="G54" s="42">
        <f t="shared" si="5"/>
        <v>1215</v>
      </c>
      <c r="H54" s="31"/>
      <c r="I54" s="71">
        <v>11</v>
      </c>
      <c r="J54" s="72">
        <v>6</v>
      </c>
      <c r="K54" s="72">
        <v>5</v>
      </c>
      <c r="L54" s="72">
        <f>31-J54-I54-K54</f>
        <v>9</v>
      </c>
      <c r="M54" s="72">
        <v>0</v>
      </c>
      <c r="N54" s="72">
        <v>6</v>
      </c>
      <c r="O54" s="73">
        <v>0</v>
      </c>
      <c r="P54" s="35">
        <v>1</v>
      </c>
      <c r="V54" s="132"/>
    </row>
    <row r="55" spans="1:22" ht="25.5" customHeight="1" thickBot="1">
      <c r="A55" s="20" t="s">
        <v>126</v>
      </c>
      <c r="B55" s="211" t="s">
        <v>111</v>
      </c>
      <c r="C55" s="212"/>
      <c r="D55" s="212"/>
      <c r="E55" s="212"/>
      <c r="F55" s="212"/>
      <c r="G55" s="213"/>
      <c r="H55" s="59">
        <f>SUM(G39:G54)</f>
        <v>192143.19</v>
      </c>
      <c r="I55" s="214" t="s">
        <v>111</v>
      </c>
      <c r="J55" s="215"/>
      <c r="K55" s="215"/>
      <c r="L55" s="215"/>
      <c r="M55" s="215"/>
      <c r="N55" s="215"/>
      <c r="O55" s="216"/>
      <c r="P55" s="60"/>
      <c r="V55" s="132"/>
    </row>
    <row r="56" spans="1:22" ht="45">
      <c r="A56" s="36">
        <f>A54+1</f>
        <v>47</v>
      </c>
      <c r="B56" s="37" t="s">
        <v>112</v>
      </c>
      <c r="C56" s="38" t="s">
        <v>205</v>
      </c>
      <c r="D56" s="39">
        <f aca="true" t="shared" si="13" ref="D56:D64">(I56*$I$6+J56*$J$6+K56*$K$6+L56*$L$6+M56*$M$6+N56*$N$6+O56*$O$6)*P56</f>
        <v>2057.55</v>
      </c>
      <c r="E56" s="62" t="s">
        <v>106</v>
      </c>
      <c r="F56" s="41">
        <v>19.9</v>
      </c>
      <c r="G56" s="42">
        <f aca="true" t="shared" si="14" ref="G56:G64">ROUND(D56*F56,2)</f>
        <v>40945.25</v>
      </c>
      <c r="H56" s="74"/>
      <c r="I56" s="71">
        <f>I74</f>
        <v>680.4</v>
      </c>
      <c r="J56" s="72">
        <v>0</v>
      </c>
      <c r="K56" s="72">
        <f>K76+K71</f>
        <v>209.75</v>
      </c>
      <c r="L56" s="72">
        <f>L76+L71</f>
        <v>2057.55</v>
      </c>
      <c r="M56" s="72">
        <f>M71</f>
        <v>240.9</v>
      </c>
      <c r="N56" s="72">
        <v>0</v>
      </c>
      <c r="O56" s="73">
        <f>O71</f>
        <v>11</v>
      </c>
      <c r="P56" s="35">
        <v>1</v>
      </c>
      <c r="V56" s="132"/>
    </row>
    <row r="57" spans="1:22" ht="60">
      <c r="A57" s="36">
        <f aca="true" t="shared" si="15" ref="A57:A64">A56+1</f>
        <v>48</v>
      </c>
      <c r="B57" s="37" t="s">
        <v>112</v>
      </c>
      <c r="C57" s="38" t="s">
        <v>276</v>
      </c>
      <c r="D57" s="39">
        <f t="shared" si="13"/>
        <v>1193.85</v>
      </c>
      <c r="E57" s="62" t="s">
        <v>106</v>
      </c>
      <c r="F57" s="41">
        <v>19.45</v>
      </c>
      <c r="G57" s="42">
        <f t="shared" si="14"/>
        <v>23220.38</v>
      </c>
      <c r="H57" s="50"/>
      <c r="I57" s="71">
        <v>0</v>
      </c>
      <c r="J57" s="72">
        <v>15.6</v>
      </c>
      <c r="K57" s="72">
        <v>177.48</v>
      </c>
      <c r="L57" s="72">
        <f>177.48+363.2+592.5+238.15-K57</f>
        <v>1193.85</v>
      </c>
      <c r="M57" s="72">
        <f>2232.74</f>
        <v>2232.74</v>
      </c>
      <c r="N57" s="72">
        <v>1267.8</v>
      </c>
      <c r="O57" s="73">
        <v>622.35</v>
      </c>
      <c r="P57" s="35">
        <v>1</v>
      </c>
      <c r="V57" s="132"/>
    </row>
    <row r="58" spans="1:22" ht="36.75" customHeight="1">
      <c r="A58" s="36">
        <f t="shared" si="15"/>
        <v>49</v>
      </c>
      <c r="B58" s="37" t="s">
        <v>112</v>
      </c>
      <c r="C58" s="38" t="s">
        <v>160</v>
      </c>
      <c r="D58" s="39">
        <f t="shared" si="13"/>
        <v>3443.1499999999996</v>
      </c>
      <c r="E58" s="62" t="s">
        <v>106</v>
      </c>
      <c r="F58" s="41">
        <v>1.9</v>
      </c>
      <c r="G58" s="42">
        <f t="shared" si="14"/>
        <v>6541.99</v>
      </c>
      <c r="H58" s="74"/>
      <c r="I58" s="51">
        <f>I73+I74+I75</f>
        <v>3795.9500000000003</v>
      </c>
      <c r="J58" s="52">
        <f>J77+J68</f>
        <v>561.35</v>
      </c>
      <c r="K58" s="52">
        <f>K60+K63+K64</f>
        <v>399.78</v>
      </c>
      <c r="L58" s="52">
        <f>L60+L63+L64</f>
        <v>3443.1499999999996</v>
      </c>
      <c r="M58" s="52">
        <f>M60+M63</f>
        <v>2254.355</v>
      </c>
      <c r="N58" s="52">
        <v>0</v>
      </c>
      <c r="O58" s="53">
        <f>O60+O63</f>
        <v>633.35</v>
      </c>
      <c r="P58" s="35">
        <v>1</v>
      </c>
      <c r="V58" s="132"/>
    </row>
    <row r="59" spans="1:22" ht="60">
      <c r="A59" s="36">
        <f t="shared" si="15"/>
        <v>50</v>
      </c>
      <c r="B59" s="37" t="s">
        <v>127</v>
      </c>
      <c r="C59" s="38" t="s">
        <v>202</v>
      </c>
      <c r="D59" s="39">
        <f t="shared" si="13"/>
        <v>7549.95</v>
      </c>
      <c r="E59" s="62" t="s">
        <v>106</v>
      </c>
      <c r="F59" s="41">
        <v>13.9</v>
      </c>
      <c r="G59" s="42">
        <f t="shared" si="14"/>
        <v>104944.31</v>
      </c>
      <c r="H59" s="74"/>
      <c r="I59" s="71">
        <v>68.5</v>
      </c>
      <c r="J59" s="72">
        <f>J79</f>
        <v>117.55</v>
      </c>
      <c r="K59" s="72">
        <f>K72+K79</f>
        <v>1010.4</v>
      </c>
      <c r="L59" s="72">
        <f>L72+L79</f>
        <v>7549.95</v>
      </c>
      <c r="M59" s="72">
        <f>M72</f>
        <v>3558.9</v>
      </c>
      <c r="N59" s="72">
        <v>0</v>
      </c>
      <c r="O59" s="73">
        <v>125.1</v>
      </c>
      <c r="P59" s="35">
        <v>1</v>
      </c>
      <c r="V59" s="132"/>
    </row>
    <row r="60" spans="1:22" ht="45">
      <c r="A60" s="36">
        <f t="shared" si="15"/>
        <v>51</v>
      </c>
      <c r="B60" s="37" t="s">
        <v>127</v>
      </c>
      <c r="C60" s="38" t="s">
        <v>277</v>
      </c>
      <c r="D60" s="55">
        <f t="shared" si="13"/>
        <v>2145.45</v>
      </c>
      <c r="E60" s="40" t="s">
        <v>106</v>
      </c>
      <c r="F60" s="56">
        <v>26.6</v>
      </c>
      <c r="G60" s="57">
        <f t="shared" si="14"/>
        <v>57068.97</v>
      </c>
      <c r="H60" s="75"/>
      <c r="I60" s="71">
        <v>0</v>
      </c>
      <c r="J60" s="72">
        <v>0</v>
      </c>
      <c r="K60" s="72">
        <f>K71+K76+12.55</f>
        <v>222.3</v>
      </c>
      <c r="L60" s="72">
        <f>97.75+773.3+912.4+130.95+242.05+211.3-K60</f>
        <v>2145.45</v>
      </c>
      <c r="M60" s="72">
        <f>240.9*1.05</f>
        <v>252.94500000000002</v>
      </c>
      <c r="N60" s="72">
        <v>0</v>
      </c>
      <c r="O60" s="73">
        <v>11</v>
      </c>
      <c r="P60" s="35">
        <v>1</v>
      </c>
      <c r="V60" s="132"/>
    </row>
    <row r="61" spans="1:22" ht="75">
      <c r="A61" s="36">
        <f t="shared" si="15"/>
        <v>52</v>
      </c>
      <c r="B61" s="37" t="s">
        <v>127</v>
      </c>
      <c r="C61" s="38" t="s">
        <v>204</v>
      </c>
      <c r="D61" s="55">
        <f t="shared" si="13"/>
        <v>0</v>
      </c>
      <c r="E61" s="40" t="s">
        <v>106</v>
      </c>
      <c r="F61" s="56">
        <v>26.6</v>
      </c>
      <c r="G61" s="57">
        <f t="shared" si="14"/>
        <v>0</v>
      </c>
      <c r="H61" s="75"/>
      <c r="I61" s="71">
        <f>174.5+505.9</f>
        <v>680.4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3">
        <v>0</v>
      </c>
      <c r="P61" s="35">
        <v>1</v>
      </c>
      <c r="V61" s="132"/>
    </row>
    <row r="62" spans="1:22" ht="60">
      <c r="A62" s="36">
        <f t="shared" si="15"/>
        <v>53</v>
      </c>
      <c r="B62" s="37" t="s">
        <v>127</v>
      </c>
      <c r="C62" s="38" t="s">
        <v>203</v>
      </c>
      <c r="D62" s="55">
        <f t="shared" si="13"/>
        <v>0</v>
      </c>
      <c r="E62" s="40" t="s">
        <v>106</v>
      </c>
      <c r="F62" s="56">
        <v>24.8</v>
      </c>
      <c r="G62" s="57">
        <f t="shared" si="14"/>
        <v>0</v>
      </c>
      <c r="H62" s="75"/>
      <c r="I62" s="71">
        <f>I66</f>
        <v>3489.9</v>
      </c>
      <c r="J62" s="72">
        <v>0</v>
      </c>
      <c r="K62" s="72">
        <v>0</v>
      </c>
      <c r="L62" s="72">
        <v>0</v>
      </c>
      <c r="M62" s="72">
        <v>0</v>
      </c>
      <c r="N62" s="52">
        <v>0</v>
      </c>
      <c r="O62" s="53">
        <v>0</v>
      </c>
      <c r="P62" s="35">
        <v>1</v>
      </c>
      <c r="V62" s="132"/>
    </row>
    <row r="63" spans="1:22" ht="60">
      <c r="A63" s="36">
        <f t="shared" si="15"/>
        <v>54</v>
      </c>
      <c r="B63" s="37" t="s">
        <v>127</v>
      </c>
      <c r="C63" s="38" t="s">
        <v>159</v>
      </c>
      <c r="D63" s="39">
        <f t="shared" si="13"/>
        <v>955.6999999999998</v>
      </c>
      <c r="E63" s="62" t="s">
        <v>106</v>
      </c>
      <c r="F63" s="41">
        <v>44.4</v>
      </c>
      <c r="G63" s="42">
        <f t="shared" si="14"/>
        <v>42433.08</v>
      </c>
      <c r="H63" s="75"/>
      <c r="I63" s="71">
        <v>0</v>
      </c>
      <c r="J63" s="72">
        <f>J68</f>
        <v>15.6</v>
      </c>
      <c r="K63" s="72">
        <v>177.48</v>
      </c>
      <c r="L63" s="72">
        <f>177.48+363.2+592.5-K63</f>
        <v>955.6999999999998</v>
      </c>
      <c r="M63" s="72">
        <v>2001.41</v>
      </c>
      <c r="N63" s="52">
        <v>1267.8</v>
      </c>
      <c r="O63" s="53">
        <v>622.35</v>
      </c>
      <c r="P63" s="35">
        <v>1</v>
      </c>
      <c r="V63" s="132"/>
    </row>
    <row r="64" spans="1:22" ht="36" customHeight="1" thickBot="1">
      <c r="A64" s="36">
        <f t="shared" si="15"/>
        <v>55</v>
      </c>
      <c r="B64" s="37" t="s">
        <v>131</v>
      </c>
      <c r="C64" s="38" t="s">
        <v>184</v>
      </c>
      <c r="D64" s="39">
        <f t="shared" si="13"/>
        <v>342</v>
      </c>
      <c r="E64" s="62" t="s">
        <v>106</v>
      </c>
      <c r="F64" s="41">
        <v>119.2</v>
      </c>
      <c r="G64" s="42">
        <f t="shared" si="14"/>
        <v>40766.4</v>
      </c>
      <c r="H64" s="50"/>
      <c r="I64" s="51">
        <v>0</v>
      </c>
      <c r="J64" s="52">
        <v>0</v>
      </c>
      <c r="K64" s="52">
        <v>0</v>
      </c>
      <c r="L64" s="52">
        <v>342</v>
      </c>
      <c r="M64" s="52">
        <v>0</v>
      </c>
      <c r="N64" s="52">
        <v>75.4</v>
      </c>
      <c r="O64" s="53">
        <v>0</v>
      </c>
      <c r="P64" s="35">
        <v>1</v>
      </c>
      <c r="V64" s="132"/>
    </row>
    <row r="65" spans="1:22" ht="24.75" customHeight="1" thickBot="1">
      <c r="A65" s="20" t="s">
        <v>114</v>
      </c>
      <c r="B65" s="211" t="s">
        <v>115</v>
      </c>
      <c r="C65" s="212"/>
      <c r="D65" s="212"/>
      <c r="E65" s="212"/>
      <c r="F65" s="212"/>
      <c r="G65" s="213"/>
      <c r="H65" s="77">
        <f>SUM(G56:G64)</f>
        <v>315920.38</v>
      </c>
      <c r="I65" s="214" t="s">
        <v>115</v>
      </c>
      <c r="J65" s="215"/>
      <c r="K65" s="215"/>
      <c r="L65" s="215"/>
      <c r="M65" s="215"/>
      <c r="N65" s="215"/>
      <c r="O65" s="216"/>
      <c r="P65" s="60"/>
      <c r="V65" s="132"/>
    </row>
    <row r="66" spans="1:22" ht="36" customHeight="1">
      <c r="A66" s="78">
        <f>A64+1</f>
        <v>56</v>
      </c>
      <c r="B66" s="79" t="s">
        <v>140</v>
      </c>
      <c r="C66" s="38" t="s">
        <v>209</v>
      </c>
      <c r="D66" s="39">
        <f aca="true" t="shared" si="16" ref="D66:D80">(I66*$I$6+J66*$J$6+K66*$K$6+L66*$L$6+M66*$M$6+N66*$N$6+O66*$O$6)*P66</f>
        <v>0</v>
      </c>
      <c r="E66" s="62" t="s">
        <v>106</v>
      </c>
      <c r="F66" s="41">
        <v>138.55</v>
      </c>
      <c r="G66" s="42">
        <f aca="true" t="shared" si="17" ref="G66:G80">ROUND(D66*F66,2)</f>
        <v>0</v>
      </c>
      <c r="H66" s="75"/>
      <c r="I66" s="51">
        <v>3489.9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3">
        <v>0</v>
      </c>
      <c r="P66" s="35">
        <v>1</v>
      </c>
      <c r="V66" s="132"/>
    </row>
    <row r="67" spans="1:22" ht="36" customHeight="1">
      <c r="A67" s="78">
        <f>A66+1</f>
        <v>57</v>
      </c>
      <c r="B67" s="79" t="s">
        <v>140</v>
      </c>
      <c r="C67" s="38" t="s">
        <v>257</v>
      </c>
      <c r="D67" s="39">
        <f t="shared" si="16"/>
        <v>342</v>
      </c>
      <c r="E67" s="62" t="s">
        <v>106</v>
      </c>
      <c r="F67" s="41">
        <v>128.55</v>
      </c>
      <c r="G67" s="42">
        <f t="shared" si="17"/>
        <v>43964.1</v>
      </c>
      <c r="H67" s="75"/>
      <c r="I67" s="51">
        <v>0</v>
      </c>
      <c r="J67" s="52">
        <v>0</v>
      </c>
      <c r="K67" s="52">
        <v>0</v>
      </c>
      <c r="L67" s="52">
        <f>114+228</f>
        <v>342</v>
      </c>
      <c r="M67" s="52">
        <v>0</v>
      </c>
      <c r="N67" s="52">
        <v>0</v>
      </c>
      <c r="O67" s="53">
        <v>0</v>
      </c>
      <c r="P67" s="35">
        <v>1</v>
      </c>
      <c r="V67" s="132"/>
    </row>
    <row r="68" spans="1:22" ht="48" customHeight="1">
      <c r="A68" s="78">
        <f>A67+1</f>
        <v>58</v>
      </c>
      <c r="B68" s="79" t="s">
        <v>141</v>
      </c>
      <c r="C68" s="38" t="s">
        <v>232</v>
      </c>
      <c r="D68" s="39">
        <f t="shared" si="16"/>
        <v>909.3</v>
      </c>
      <c r="E68" s="62" t="s">
        <v>106</v>
      </c>
      <c r="F68" s="41">
        <v>55.5</v>
      </c>
      <c r="G68" s="42">
        <f t="shared" si="17"/>
        <v>50466.15</v>
      </c>
      <c r="H68" s="75"/>
      <c r="I68" s="51">
        <v>0</v>
      </c>
      <c r="J68" s="52">
        <v>15.6</v>
      </c>
      <c r="K68" s="52">
        <v>177.48</v>
      </c>
      <c r="L68" s="52">
        <f>177.48+363.2+546.1-K68</f>
        <v>909.3</v>
      </c>
      <c r="M68" s="52">
        <v>1834.63</v>
      </c>
      <c r="N68" s="52">
        <v>1267.8</v>
      </c>
      <c r="O68" s="53">
        <f>326.35+296</f>
        <v>622.35</v>
      </c>
      <c r="P68" s="35">
        <v>1</v>
      </c>
      <c r="V68" s="132"/>
    </row>
    <row r="69" spans="1:22" ht="36" customHeight="1">
      <c r="A69" s="78">
        <f>A68+1</f>
        <v>59</v>
      </c>
      <c r="B69" s="79" t="s">
        <v>141</v>
      </c>
      <c r="C69" s="38" t="s">
        <v>231</v>
      </c>
      <c r="D69" s="39">
        <f t="shared" si="16"/>
        <v>1074.2238911290324</v>
      </c>
      <c r="E69" s="62" t="s">
        <v>178</v>
      </c>
      <c r="F69" s="41">
        <v>375.5</v>
      </c>
      <c r="G69" s="42">
        <f t="shared" si="17"/>
        <v>403371.07</v>
      </c>
      <c r="H69" s="80"/>
      <c r="I69" s="51">
        <v>0</v>
      </c>
      <c r="J69" s="52">
        <f>((40.68/0.062)*0.025)*2.4455</f>
        <v>40.11408870967742</v>
      </c>
      <c r="K69" s="52">
        <f>54.48*2.5</f>
        <v>136.2</v>
      </c>
      <c r="L69" s="52">
        <f>((1227.5/0.062)*0.025)*2.4455-K69</f>
        <v>1074.2238911290324</v>
      </c>
      <c r="M69" s="52">
        <f>((597.48/0.062)*0.025)*2.4455</f>
        <v>589.1682822580647</v>
      </c>
      <c r="N69" s="52">
        <v>0</v>
      </c>
      <c r="O69" s="53">
        <v>0</v>
      </c>
      <c r="P69" s="35">
        <v>1</v>
      </c>
      <c r="V69" s="132"/>
    </row>
    <row r="70" spans="1:22" ht="48" customHeight="1">
      <c r="A70" s="78">
        <f aca="true" t="shared" si="18" ref="A70:A80">A69+1</f>
        <v>60</v>
      </c>
      <c r="B70" s="79" t="s">
        <v>139</v>
      </c>
      <c r="C70" s="38" t="s">
        <v>230</v>
      </c>
      <c r="D70" s="55">
        <f t="shared" si="16"/>
        <v>16640.25</v>
      </c>
      <c r="E70" s="40" t="s">
        <v>106</v>
      </c>
      <c r="F70" s="56">
        <v>38.95</v>
      </c>
      <c r="G70" s="57">
        <f t="shared" si="17"/>
        <v>648137.74</v>
      </c>
      <c r="H70" s="75"/>
      <c r="I70" s="51">
        <v>0</v>
      </c>
      <c r="J70" s="52">
        <v>1017</v>
      </c>
      <c r="K70" s="52">
        <f>1650.45+124.35</f>
        <v>1774.8</v>
      </c>
      <c r="L70" s="52">
        <f>2802.85+4431.4+12197.8-1017-K70</f>
        <v>16640.25</v>
      </c>
      <c r="M70" s="52">
        <v>9955.25</v>
      </c>
      <c r="N70" s="52">
        <v>1267.8</v>
      </c>
      <c r="O70" s="53">
        <f>326.35+296</f>
        <v>622.35</v>
      </c>
      <c r="P70" s="35">
        <v>1</v>
      </c>
      <c r="V70" s="132"/>
    </row>
    <row r="71" spans="1:22" ht="49.5" customHeight="1">
      <c r="A71" s="78">
        <f t="shared" si="18"/>
        <v>61</v>
      </c>
      <c r="B71" s="79" t="s">
        <v>139</v>
      </c>
      <c r="C71" s="38" t="s">
        <v>229</v>
      </c>
      <c r="D71" s="55">
        <f t="shared" si="16"/>
        <v>1604.25</v>
      </c>
      <c r="E71" s="40" t="s">
        <v>106</v>
      </c>
      <c r="F71" s="56">
        <v>38.95</v>
      </c>
      <c r="G71" s="57">
        <f t="shared" si="17"/>
        <v>62485.54</v>
      </c>
      <c r="H71" s="75"/>
      <c r="I71" s="71">
        <v>0</v>
      </c>
      <c r="J71" s="72">
        <v>0</v>
      </c>
      <c r="K71" s="72">
        <v>78.75</v>
      </c>
      <c r="L71" s="72">
        <f>1683-K71</f>
        <v>1604.25</v>
      </c>
      <c r="M71" s="72">
        <v>240.9</v>
      </c>
      <c r="N71" s="72">
        <v>0</v>
      </c>
      <c r="O71" s="73">
        <v>11</v>
      </c>
      <c r="P71" s="35">
        <v>1</v>
      </c>
      <c r="V71" s="132"/>
    </row>
    <row r="72" spans="1:22" ht="51" customHeight="1">
      <c r="A72" s="78">
        <f t="shared" si="18"/>
        <v>62</v>
      </c>
      <c r="B72" s="79" t="s">
        <v>139</v>
      </c>
      <c r="C72" s="38" t="s">
        <v>228</v>
      </c>
      <c r="D72" s="55">
        <f t="shared" si="16"/>
        <v>7549.95</v>
      </c>
      <c r="E72" s="40" t="s">
        <v>106</v>
      </c>
      <c r="F72" s="56">
        <v>42.95</v>
      </c>
      <c r="G72" s="57">
        <f t="shared" si="17"/>
        <v>324270.35</v>
      </c>
      <c r="H72" s="75"/>
      <c r="I72" s="71">
        <v>0</v>
      </c>
      <c r="J72" s="72">
        <v>0</v>
      </c>
      <c r="K72" s="72">
        <v>199</v>
      </c>
      <c r="L72" s="72">
        <f>7748.95-K72</f>
        <v>7549.95</v>
      </c>
      <c r="M72" s="72">
        <v>3558.9</v>
      </c>
      <c r="N72" s="72">
        <v>0</v>
      </c>
      <c r="O72" s="73">
        <v>125.1</v>
      </c>
      <c r="P72" s="35">
        <v>1</v>
      </c>
      <c r="V72" s="132"/>
    </row>
    <row r="73" spans="1:22" ht="36" customHeight="1">
      <c r="A73" s="78">
        <f>A72+1</f>
        <v>63</v>
      </c>
      <c r="B73" s="79" t="s">
        <v>128</v>
      </c>
      <c r="C73" s="38" t="s">
        <v>191</v>
      </c>
      <c r="D73" s="55">
        <f t="shared" si="16"/>
        <v>0</v>
      </c>
      <c r="E73" s="40" t="s">
        <v>106</v>
      </c>
      <c r="F73" s="56">
        <v>109.5</v>
      </c>
      <c r="G73" s="57">
        <f t="shared" si="17"/>
        <v>0</v>
      </c>
      <c r="H73" s="75"/>
      <c r="I73" s="71">
        <v>3047.05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3">
        <v>0</v>
      </c>
      <c r="P73" s="35">
        <v>1</v>
      </c>
      <c r="V73" s="132"/>
    </row>
    <row r="74" spans="1:22" ht="45">
      <c r="A74" s="78">
        <f t="shared" si="18"/>
        <v>64</v>
      </c>
      <c r="B74" s="79" t="s">
        <v>128</v>
      </c>
      <c r="C74" s="38" t="s">
        <v>192</v>
      </c>
      <c r="D74" s="55">
        <f t="shared" si="16"/>
        <v>0</v>
      </c>
      <c r="E74" s="40" t="s">
        <v>106</v>
      </c>
      <c r="F74" s="56">
        <v>109.5</v>
      </c>
      <c r="G74" s="57">
        <f t="shared" si="17"/>
        <v>0</v>
      </c>
      <c r="H74" s="75"/>
      <c r="I74" s="71">
        <f>174.5+505.9</f>
        <v>680.4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3">
        <v>0</v>
      </c>
      <c r="P74" s="35">
        <v>1</v>
      </c>
      <c r="V74" s="132"/>
    </row>
    <row r="75" spans="1:22" ht="45">
      <c r="A75" s="78">
        <f t="shared" si="18"/>
        <v>65</v>
      </c>
      <c r="B75" s="79" t="s">
        <v>128</v>
      </c>
      <c r="C75" s="38" t="s">
        <v>190</v>
      </c>
      <c r="D75" s="39">
        <f t="shared" si="16"/>
        <v>0</v>
      </c>
      <c r="E75" s="62" t="s">
        <v>106</v>
      </c>
      <c r="F75" s="41">
        <v>109.5</v>
      </c>
      <c r="G75" s="42">
        <f t="shared" si="17"/>
        <v>0</v>
      </c>
      <c r="H75" s="75"/>
      <c r="I75" s="71">
        <v>68.5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3">
        <v>0</v>
      </c>
      <c r="P75" s="35">
        <v>1</v>
      </c>
      <c r="V75" s="132"/>
    </row>
    <row r="76" spans="1:22" ht="45">
      <c r="A76" s="78">
        <f t="shared" si="18"/>
        <v>66</v>
      </c>
      <c r="B76" s="79" t="s">
        <v>128</v>
      </c>
      <c r="C76" s="38" t="s">
        <v>258</v>
      </c>
      <c r="D76" s="39">
        <f t="shared" si="16"/>
        <v>453.29999999999995</v>
      </c>
      <c r="E76" s="62" t="s">
        <v>106</v>
      </c>
      <c r="F76" s="41">
        <v>93.85</v>
      </c>
      <c r="G76" s="42">
        <f t="shared" si="17"/>
        <v>42542.21</v>
      </c>
      <c r="H76" s="75"/>
      <c r="I76" s="71">
        <v>0</v>
      </c>
      <c r="J76" s="72">
        <v>0</v>
      </c>
      <c r="K76" s="72">
        <v>131</v>
      </c>
      <c r="L76" s="72">
        <f>584.3-K76</f>
        <v>453.29999999999995</v>
      </c>
      <c r="M76" s="72">
        <v>0</v>
      </c>
      <c r="N76" s="72">
        <v>0</v>
      </c>
      <c r="O76" s="73">
        <v>0</v>
      </c>
      <c r="P76" s="35">
        <v>1</v>
      </c>
      <c r="V76" s="132"/>
    </row>
    <row r="77" spans="1:22" ht="36" customHeight="1">
      <c r="A77" s="78">
        <f t="shared" si="18"/>
        <v>67</v>
      </c>
      <c r="B77" s="79" t="s">
        <v>128</v>
      </c>
      <c r="C77" s="38" t="s">
        <v>259</v>
      </c>
      <c r="D77" s="39">
        <f t="shared" si="16"/>
        <v>5453.6</v>
      </c>
      <c r="E77" s="62" t="s">
        <v>106</v>
      </c>
      <c r="F77" s="41">
        <v>93.85</v>
      </c>
      <c r="G77" s="42">
        <f t="shared" si="17"/>
        <v>511820.36</v>
      </c>
      <c r="H77" s="75"/>
      <c r="I77" s="71">
        <v>0</v>
      </c>
      <c r="J77" s="72">
        <v>545.75</v>
      </c>
      <c r="K77" s="72">
        <v>814.7</v>
      </c>
      <c r="L77" s="72">
        <f>5873.55+394.75-K77</f>
        <v>5453.6</v>
      </c>
      <c r="M77" s="72">
        <v>0</v>
      </c>
      <c r="N77" s="72">
        <v>0</v>
      </c>
      <c r="O77" s="73">
        <v>10.7</v>
      </c>
      <c r="P77" s="35">
        <v>1</v>
      </c>
      <c r="V77" s="132"/>
    </row>
    <row r="78" spans="1:22" ht="36" customHeight="1">
      <c r="A78" s="78">
        <f t="shared" si="18"/>
        <v>68</v>
      </c>
      <c r="B78" s="79" t="s">
        <v>128</v>
      </c>
      <c r="C78" s="38" t="s">
        <v>260</v>
      </c>
      <c r="D78" s="39">
        <f t="shared" si="16"/>
        <v>626.65</v>
      </c>
      <c r="E78" s="62" t="s">
        <v>106</v>
      </c>
      <c r="F78" s="41">
        <v>93.85</v>
      </c>
      <c r="G78" s="42">
        <f t="shared" si="17"/>
        <v>58811.1</v>
      </c>
      <c r="H78" s="75"/>
      <c r="I78" s="71">
        <v>0</v>
      </c>
      <c r="J78" s="72">
        <v>0</v>
      </c>
      <c r="K78" s="72">
        <v>27.7</v>
      </c>
      <c r="L78" s="72">
        <f>654.35-K78</f>
        <v>626.65</v>
      </c>
      <c r="M78" s="72">
        <v>0</v>
      </c>
      <c r="N78" s="72">
        <v>0</v>
      </c>
      <c r="O78" s="73">
        <v>0</v>
      </c>
      <c r="P78" s="35">
        <v>1</v>
      </c>
      <c r="V78" s="132"/>
    </row>
    <row r="79" spans="1:22" ht="48" customHeight="1">
      <c r="A79" s="78">
        <f t="shared" si="18"/>
        <v>69</v>
      </c>
      <c r="B79" s="79" t="s">
        <v>128</v>
      </c>
      <c r="C79" s="38" t="s">
        <v>261</v>
      </c>
      <c r="D79" s="39">
        <f t="shared" si="16"/>
        <v>0</v>
      </c>
      <c r="E79" s="62" t="s">
        <v>106</v>
      </c>
      <c r="F79" s="41">
        <v>93.85</v>
      </c>
      <c r="G79" s="42">
        <f t="shared" si="17"/>
        <v>0</v>
      </c>
      <c r="H79" s="75"/>
      <c r="I79" s="71">
        <v>0</v>
      </c>
      <c r="J79" s="72">
        <v>117.55</v>
      </c>
      <c r="K79" s="72">
        <v>811.4</v>
      </c>
      <c r="L79" s="72">
        <v>0</v>
      </c>
      <c r="M79" s="72">
        <v>0</v>
      </c>
      <c r="N79" s="72">
        <v>0</v>
      </c>
      <c r="O79" s="73">
        <v>0</v>
      </c>
      <c r="P79" s="35">
        <v>1</v>
      </c>
      <c r="V79" s="132"/>
    </row>
    <row r="80" spans="1:22" ht="36" customHeight="1" thickBot="1">
      <c r="A80" s="78">
        <f t="shared" si="18"/>
        <v>70</v>
      </c>
      <c r="B80" s="79" t="s">
        <v>157</v>
      </c>
      <c r="C80" s="38" t="s">
        <v>158</v>
      </c>
      <c r="D80" s="39">
        <f t="shared" si="16"/>
        <v>131.00000000000006</v>
      </c>
      <c r="E80" s="62" t="s">
        <v>106</v>
      </c>
      <c r="F80" s="41">
        <v>28.2</v>
      </c>
      <c r="G80" s="42">
        <f t="shared" si="17"/>
        <v>3694.2</v>
      </c>
      <c r="H80" s="74"/>
      <c r="I80" s="81">
        <v>0</v>
      </c>
      <c r="J80" s="82">
        <v>31.5</v>
      </c>
      <c r="K80" s="83">
        <v>397.95</v>
      </c>
      <c r="L80" s="82">
        <f>397.95+33.1+97.9-K80</f>
        <v>131.00000000000006</v>
      </c>
      <c r="M80" s="82">
        <v>2642.85</v>
      </c>
      <c r="N80" s="83">
        <v>0</v>
      </c>
      <c r="O80" s="84">
        <v>19.7</v>
      </c>
      <c r="P80" s="35">
        <v>1</v>
      </c>
      <c r="V80" s="132"/>
    </row>
    <row r="81" spans="1:22" ht="22.5" customHeight="1" thickBot="1">
      <c r="A81" s="20" t="s">
        <v>116</v>
      </c>
      <c r="B81" s="211" t="s">
        <v>119</v>
      </c>
      <c r="C81" s="212"/>
      <c r="D81" s="212"/>
      <c r="E81" s="212"/>
      <c r="F81" s="212"/>
      <c r="G81" s="213"/>
      <c r="H81" s="59">
        <f>SUM(G66:G80)</f>
        <v>2149562.8200000003</v>
      </c>
      <c r="I81" s="214" t="s">
        <v>119</v>
      </c>
      <c r="J81" s="215"/>
      <c r="K81" s="215"/>
      <c r="L81" s="215"/>
      <c r="M81" s="215"/>
      <c r="N81" s="215"/>
      <c r="O81" s="216"/>
      <c r="P81" s="60"/>
      <c r="V81" s="132"/>
    </row>
    <row r="82" spans="1:22" ht="36" customHeight="1">
      <c r="A82" s="36">
        <f>A80+1</f>
        <v>71</v>
      </c>
      <c r="B82" s="79" t="s">
        <v>120</v>
      </c>
      <c r="C82" s="85" t="s">
        <v>219</v>
      </c>
      <c r="D82" s="39">
        <f>(I82*$I$6+J82*$J$6+K82*$K$6+L82*$L$6+M82*$M$6+N82*$N$6+O82*$O$6)*P82</f>
        <v>0</v>
      </c>
      <c r="E82" s="62" t="s">
        <v>106</v>
      </c>
      <c r="F82" s="41">
        <v>17.55</v>
      </c>
      <c r="G82" s="42">
        <f>ROUND(D82*F82,2)</f>
        <v>0</v>
      </c>
      <c r="H82" s="86"/>
      <c r="I82" s="71">
        <v>0</v>
      </c>
      <c r="J82" s="72">
        <v>0</v>
      </c>
      <c r="K82" s="72">
        <v>0</v>
      </c>
      <c r="L82" s="72">
        <v>0</v>
      </c>
      <c r="M82" s="72">
        <v>4982.4</v>
      </c>
      <c r="N82" s="72">
        <v>0</v>
      </c>
      <c r="O82" s="73">
        <v>112.25</v>
      </c>
      <c r="P82" s="35">
        <v>1</v>
      </c>
      <c r="V82" s="132"/>
    </row>
    <row r="83" spans="1:22" ht="36" customHeight="1" thickBot="1">
      <c r="A83" s="36">
        <f>A82+1</f>
        <v>72</v>
      </c>
      <c r="B83" s="79" t="s">
        <v>122</v>
      </c>
      <c r="C83" s="85" t="s">
        <v>156</v>
      </c>
      <c r="D83" s="39">
        <f>(I83*$I$6+J83*$J$6+K83*$K$6+L83*$L$6+M83*$M$6+N83*$N$6+O83*$O$6)*P83</f>
        <v>8541.3</v>
      </c>
      <c r="E83" s="62" t="s">
        <v>106</v>
      </c>
      <c r="F83" s="41">
        <v>5.4</v>
      </c>
      <c r="G83" s="42">
        <f>ROUND(D83*F83,2)</f>
        <v>46123.02</v>
      </c>
      <c r="H83" s="75"/>
      <c r="I83" s="71">
        <v>1393.3</v>
      </c>
      <c r="J83" s="72">
        <v>118.65</v>
      </c>
      <c r="K83" s="72">
        <v>381.95</v>
      </c>
      <c r="L83" s="72">
        <f>8923.25-K83</f>
        <v>8541.3</v>
      </c>
      <c r="M83" s="72">
        <v>0</v>
      </c>
      <c r="N83" s="72">
        <v>0</v>
      </c>
      <c r="O83" s="73">
        <v>18.9</v>
      </c>
      <c r="P83" s="35">
        <v>1</v>
      </c>
      <c r="V83" s="132"/>
    </row>
    <row r="84" spans="1:22" ht="22.5" customHeight="1" thickBot="1">
      <c r="A84" s="20" t="s">
        <v>116</v>
      </c>
      <c r="B84" s="211" t="s">
        <v>163</v>
      </c>
      <c r="C84" s="212"/>
      <c r="D84" s="212"/>
      <c r="E84" s="212"/>
      <c r="F84" s="212"/>
      <c r="G84" s="213"/>
      <c r="H84" s="59">
        <f>SUM(G82:G83)</f>
        <v>46123.02</v>
      </c>
      <c r="I84" s="214" t="s">
        <v>163</v>
      </c>
      <c r="J84" s="215"/>
      <c r="K84" s="215"/>
      <c r="L84" s="215"/>
      <c r="M84" s="215"/>
      <c r="N84" s="215"/>
      <c r="O84" s="216"/>
      <c r="P84" s="60"/>
      <c r="V84" s="132"/>
    </row>
    <row r="85" spans="1:22" ht="31.5" customHeight="1">
      <c r="A85" s="36">
        <f>A83+1</f>
        <v>73</v>
      </c>
      <c r="B85" s="79" t="s">
        <v>164</v>
      </c>
      <c r="C85" s="85" t="s">
        <v>218</v>
      </c>
      <c r="D85" s="39">
        <f aca="true" t="shared" si="19" ref="D85:D99">(I85*$I$6+J85*$J$6+K85*$K$6+L85*$L$6+M85*$M$6+N85*$N$6+O85*$O$6)*P85</f>
        <v>0</v>
      </c>
      <c r="E85" s="62" t="s">
        <v>106</v>
      </c>
      <c r="F85" s="41">
        <v>24.3</v>
      </c>
      <c r="G85" s="42">
        <f aca="true" t="shared" si="20" ref="G85:G99">ROUND(D85*F85,2)</f>
        <v>0</v>
      </c>
      <c r="H85" s="86"/>
      <c r="I85" s="71">
        <v>4.8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3">
        <v>0</v>
      </c>
      <c r="P85" s="35">
        <v>1</v>
      </c>
      <c r="V85" s="132"/>
    </row>
    <row r="86" spans="1:22" ht="35.25" customHeight="1">
      <c r="A86" s="36">
        <f>A85+1</f>
        <v>74</v>
      </c>
      <c r="B86" s="79" t="s">
        <v>164</v>
      </c>
      <c r="C86" s="85" t="s">
        <v>213</v>
      </c>
      <c r="D86" s="39">
        <f t="shared" si="19"/>
        <v>0</v>
      </c>
      <c r="E86" s="62" t="s">
        <v>106</v>
      </c>
      <c r="F86" s="41">
        <v>24.3</v>
      </c>
      <c r="G86" s="42">
        <f t="shared" si="20"/>
        <v>0</v>
      </c>
      <c r="H86" s="86"/>
      <c r="I86" s="71">
        <v>78.5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3">
        <v>0</v>
      </c>
      <c r="P86" s="35">
        <v>1</v>
      </c>
      <c r="V86" s="132"/>
    </row>
    <row r="87" spans="1:22" ht="35.25" customHeight="1">
      <c r="A87" s="36">
        <f aca="true" t="shared" si="21" ref="A87:A98">A86+1</f>
        <v>75</v>
      </c>
      <c r="B87" s="79" t="s">
        <v>164</v>
      </c>
      <c r="C87" s="85" t="s">
        <v>214</v>
      </c>
      <c r="D87" s="39">
        <f t="shared" si="19"/>
        <v>0</v>
      </c>
      <c r="E87" s="62" t="s">
        <v>106</v>
      </c>
      <c r="F87" s="41">
        <v>24.3</v>
      </c>
      <c r="G87" s="42">
        <f t="shared" si="20"/>
        <v>0</v>
      </c>
      <c r="H87" s="86"/>
      <c r="I87" s="71">
        <v>0.662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3">
        <v>0</v>
      </c>
      <c r="P87" s="35">
        <v>1</v>
      </c>
      <c r="V87" s="132"/>
    </row>
    <row r="88" spans="1:22" ht="35.25" customHeight="1">
      <c r="A88" s="36">
        <f t="shared" si="21"/>
        <v>76</v>
      </c>
      <c r="B88" s="79" t="s">
        <v>164</v>
      </c>
      <c r="C88" s="85" t="s">
        <v>215</v>
      </c>
      <c r="D88" s="39">
        <f t="shared" si="19"/>
        <v>506.4</v>
      </c>
      <c r="E88" s="62" t="s">
        <v>106</v>
      </c>
      <c r="F88" s="41">
        <v>58.6</v>
      </c>
      <c r="G88" s="42">
        <f t="shared" si="20"/>
        <v>29675.04</v>
      </c>
      <c r="H88" s="86"/>
      <c r="I88" s="71">
        <v>0</v>
      </c>
      <c r="J88" s="72">
        <v>33.3</v>
      </c>
      <c r="K88" s="72">
        <v>7.6</v>
      </c>
      <c r="L88" s="72">
        <f>10+137.8+366.2-K88</f>
        <v>506.4</v>
      </c>
      <c r="M88" s="72">
        <v>74.4</v>
      </c>
      <c r="N88" s="72">
        <v>11.3</v>
      </c>
      <c r="O88" s="73">
        <v>11.72</v>
      </c>
      <c r="P88" s="35">
        <v>1</v>
      </c>
      <c r="V88" s="132"/>
    </row>
    <row r="89" spans="1:22" ht="35.25" customHeight="1">
      <c r="A89" s="36">
        <f t="shared" si="21"/>
        <v>77</v>
      </c>
      <c r="B89" s="79" t="s">
        <v>164</v>
      </c>
      <c r="C89" s="85" t="s">
        <v>216</v>
      </c>
      <c r="D89" s="39">
        <f t="shared" si="19"/>
        <v>47.099999999999994</v>
      </c>
      <c r="E89" s="62" t="s">
        <v>106</v>
      </c>
      <c r="F89" s="41">
        <v>58.6</v>
      </c>
      <c r="G89" s="42">
        <f t="shared" si="20"/>
        <v>2760.06</v>
      </c>
      <c r="H89" s="86"/>
      <c r="I89" s="71">
        <v>0</v>
      </c>
      <c r="J89" s="72">
        <v>18</v>
      </c>
      <c r="K89" s="72">
        <v>2.2</v>
      </c>
      <c r="L89" s="72">
        <f>2.2+10.5+36.6-K89</f>
        <v>47.099999999999994</v>
      </c>
      <c r="M89" s="72">
        <v>0</v>
      </c>
      <c r="N89" s="72">
        <v>17.1</v>
      </c>
      <c r="O89" s="73">
        <v>3.06</v>
      </c>
      <c r="P89" s="35">
        <v>1</v>
      </c>
      <c r="V89" s="132"/>
    </row>
    <row r="90" spans="1:22" ht="35.25" customHeight="1">
      <c r="A90" s="36">
        <f t="shared" si="21"/>
        <v>78</v>
      </c>
      <c r="B90" s="79" t="s">
        <v>164</v>
      </c>
      <c r="C90" s="85" t="s">
        <v>217</v>
      </c>
      <c r="D90" s="39">
        <f t="shared" si="19"/>
        <v>519.1000000000001</v>
      </c>
      <c r="E90" s="62" t="s">
        <v>106</v>
      </c>
      <c r="F90" s="41">
        <v>58.6</v>
      </c>
      <c r="G90" s="42">
        <f t="shared" si="20"/>
        <v>30419.26</v>
      </c>
      <c r="H90" s="86"/>
      <c r="I90" s="71">
        <v>0</v>
      </c>
      <c r="J90" s="72">
        <v>94.45</v>
      </c>
      <c r="K90" s="72">
        <v>65.8</v>
      </c>
      <c r="L90" s="72">
        <f>65.8+165+354.1-K90</f>
        <v>519.1000000000001</v>
      </c>
      <c r="M90" s="72">
        <v>12.5</v>
      </c>
      <c r="N90" s="72">
        <v>55.39</v>
      </c>
      <c r="O90" s="73">
        <v>0</v>
      </c>
      <c r="P90" s="35">
        <v>1</v>
      </c>
      <c r="V90" s="132"/>
    </row>
    <row r="91" spans="1:22" ht="35.25" customHeight="1">
      <c r="A91" s="36">
        <f t="shared" si="21"/>
        <v>79</v>
      </c>
      <c r="B91" s="79" t="s">
        <v>164</v>
      </c>
      <c r="C91" s="85" t="s">
        <v>176</v>
      </c>
      <c r="D91" s="39">
        <f t="shared" si="19"/>
        <v>119.5</v>
      </c>
      <c r="E91" s="62" t="s">
        <v>106</v>
      </c>
      <c r="F91" s="41">
        <v>69.2</v>
      </c>
      <c r="G91" s="42">
        <f t="shared" si="20"/>
        <v>8269.4</v>
      </c>
      <c r="H91" s="86"/>
      <c r="I91" s="71">
        <v>0</v>
      </c>
      <c r="J91" s="72">
        <v>21</v>
      </c>
      <c r="K91" s="72">
        <v>18.6</v>
      </c>
      <c r="L91" s="72">
        <f>18.6+44.5+75-K91</f>
        <v>119.5</v>
      </c>
      <c r="M91" s="72">
        <v>0</v>
      </c>
      <c r="N91" s="72">
        <v>11.25</v>
      </c>
      <c r="O91" s="73">
        <v>0</v>
      </c>
      <c r="P91" s="35">
        <v>1</v>
      </c>
      <c r="V91" s="132"/>
    </row>
    <row r="92" spans="1:22" ht="35.25" customHeight="1">
      <c r="A92" s="36">
        <f t="shared" si="21"/>
        <v>80</v>
      </c>
      <c r="B92" s="79" t="s">
        <v>165</v>
      </c>
      <c r="C92" s="85" t="s">
        <v>166</v>
      </c>
      <c r="D92" s="39">
        <f t="shared" si="19"/>
        <v>132</v>
      </c>
      <c r="E92" s="62" t="s">
        <v>113</v>
      </c>
      <c r="F92" s="41">
        <v>243</v>
      </c>
      <c r="G92" s="42">
        <f t="shared" si="20"/>
        <v>32076</v>
      </c>
      <c r="H92" s="75"/>
      <c r="I92" s="71">
        <v>30</v>
      </c>
      <c r="J92" s="72">
        <v>9</v>
      </c>
      <c r="K92" s="72">
        <v>18</v>
      </c>
      <c r="L92" s="72">
        <f>18+50+82-K92</f>
        <v>132</v>
      </c>
      <c r="M92" s="72">
        <v>2</v>
      </c>
      <c r="N92" s="72">
        <v>16</v>
      </c>
      <c r="O92" s="73">
        <v>1</v>
      </c>
      <c r="P92" s="35">
        <v>1</v>
      </c>
      <c r="V92" s="132"/>
    </row>
    <row r="93" spans="1:22" ht="35.25" customHeight="1">
      <c r="A93" s="36">
        <f t="shared" si="21"/>
        <v>81</v>
      </c>
      <c r="B93" s="79" t="s">
        <v>165</v>
      </c>
      <c r="C93" s="85" t="s">
        <v>167</v>
      </c>
      <c r="D93" s="39">
        <f t="shared" si="19"/>
        <v>100</v>
      </c>
      <c r="E93" s="62" t="s">
        <v>113</v>
      </c>
      <c r="F93" s="41">
        <v>162</v>
      </c>
      <c r="G93" s="42">
        <f t="shared" si="20"/>
        <v>16200</v>
      </c>
      <c r="H93" s="75"/>
      <c r="I93" s="71">
        <v>21</v>
      </c>
      <c r="J93" s="72">
        <v>7</v>
      </c>
      <c r="K93" s="72">
        <v>12</v>
      </c>
      <c r="L93" s="72">
        <f>12+34+66-K93</f>
        <v>100</v>
      </c>
      <c r="M93" s="72">
        <v>2</v>
      </c>
      <c r="N93" s="72">
        <v>11</v>
      </c>
      <c r="O93" s="73">
        <v>1</v>
      </c>
      <c r="P93" s="35">
        <v>1</v>
      </c>
      <c r="V93" s="132"/>
    </row>
    <row r="94" spans="1:22" ht="35.25" customHeight="1">
      <c r="A94" s="36">
        <f t="shared" si="21"/>
        <v>82</v>
      </c>
      <c r="B94" s="79" t="s">
        <v>165</v>
      </c>
      <c r="C94" s="85" t="s">
        <v>172</v>
      </c>
      <c r="D94" s="39">
        <f t="shared" si="19"/>
        <v>36</v>
      </c>
      <c r="E94" s="62" t="s">
        <v>113</v>
      </c>
      <c r="F94" s="41">
        <v>13.5</v>
      </c>
      <c r="G94" s="42">
        <f t="shared" si="20"/>
        <v>486</v>
      </c>
      <c r="H94" s="75"/>
      <c r="I94" s="71">
        <v>14</v>
      </c>
      <c r="J94" s="72">
        <v>3</v>
      </c>
      <c r="K94" s="72">
        <v>6</v>
      </c>
      <c r="L94" s="72">
        <f>6+24+12-K94</f>
        <v>36</v>
      </c>
      <c r="M94" s="72">
        <v>15</v>
      </c>
      <c r="N94" s="72">
        <v>6</v>
      </c>
      <c r="O94" s="73">
        <v>0</v>
      </c>
      <c r="P94" s="35">
        <v>1</v>
      </c>
      <c r="V94" s="132"/>
    </row>
    <row r="95" spans="1:22" ht="35.25" customHeight="1">
      <c r="A95" s="36">
        <f t="shared" si="21"/>
        <v>83</v>
      </c>
      <c r="B95" s="79" t="s">
        <v>165</v>
      </c>
      <c r="C95" s="85" t="s">
        <v>177</v>
      </c>
      <c r="D95" s="39">
        <f t="shared" si="19"/>
        <v>32</v>
      </c>
      <c r="E95" s="62" t="s">
        <v>113</v>
      </c>
      <c r="F95" s="41">
        <v>13.5</v>
      </c>
      <c r="G95" s="42">
        <f t="shared" si="20"/>
        <v>432</v>
      </c>
      <c r="H95" s="75"/>
      <c r="I95" s="71">
        <v>11</v>
      </c>
      <c r="J95" s="72">
        <v>2</v>
      </c>
      <c r="K95" s="72">
        <v>5</v>
      </c>
      <c r="L95" s="72">
        <f>5+20+12-K95</f>
        <v>32</v>
      </c>
      <c r="M95" s="72">
        <v>12</v>
      </c>
      <c r="N95" s="72">
        <v>5</v>
      </c>
      <c r="O95" s="73">
        <v>0</v>
      </c>
      <c r="P95" s="35">
        <v>1</v>
      </c>
      <c r="V95" s="132"/>
    </row>
    <row r="96" spans="1:22" ht="35.25" customHeight="1">
      <c r="A96" s="36">
        <f t="shared" si="21"/>
        <v>84</v>
      </c>
      <c r="B96" s="79" t="s">
        <v>165</v>
      </c>
      <c r="C96" s="85" t="s">
        <v>173</v>
      </c>
      <c r="D96" s="55">
        <f t="shared" si="19"/>
        <v>28</v>
      </c>
      <c r="E96" s="40" t="s">
        <v>113</v>
      </c>
      <c r="F96" s="56">
        <v>47.25</v>
      </c>
      <c r="G96" s="57">
        <f t="shared" si="20"/>
        <v>1323</v>
      </c>
      <c r="H96" s="75"/>
      <c r="I96" s="71">
        <v>14</v>
      </c>
      <c r="J96" s="72">
        <v>2</v>
      </c>
      <c r="K96" s="72">
        <v>5</v>
      </c>
      <c r="L96" s="72">
        <f>5+22+6-K96</f>
        <v>28</v>
      </c>
      <c r="M96" s="72">
        <v>6</v>
      </c>
      <c r="N96" s="72">
        <v>0</v>
      </c>
      <c r="O96" s="73">
        <v>0</v>
      </c>
      <c r="P96" s="35">
        <v>1</v>
      </c>
      <c r="V96" s="132"/>
    </row>
    <row r="97" spans="1:22" ht="35.25" customHeight="1">
      <c r="A97" s="36">
        <f t="shared" si="21"/>
        <v>85</v>
      </c>
      <c r="B97" s="79" t="s">
        <v>165</v>
      </c>
      <c r="C97" s="85" t="s">
        <v>174</v>
      </c>
      <c r="D97" s="55">
        <f t="shared" si="19"/>
        <v>18</v>
      </c>
      <c r="E97" s="40" t="s">
        <v>113</v>
      </c>
      <c r="F97" s="56">
        <v>47.25</v>
      </c>
      <c r="G97" s="57">
        <f t="shared" si="20"/>
        <v>850.5</v>
      </c>
      <c r="H97" s="75"/>
      <c r="I97" s="71">
        <v>7</v>
      </c>
      <c r="J97" s="72">
        <v>0</v>
      </c>
      <c r="K97" s="72">
        <v>3</v>
      </c>
      <c r="L97" s="72">
        <f>3+12+6-K97</f>
        <v>18</v>
      </c>
      <c r="M97" s="72">
        <v>5</v>
      </c>
      <c r="N97" s="72">
        <v>0</v>
      </c>
      <c r="O97" s="73">
        <v>0</v>
      </c>
      <c r="P97" s="35">
        <v>1</v>
      </c>
      <c r="V97" s="132"/>
    </row>
    <row r="98" spans="1:22" ht="35.25" customHeight="1">
      <c r="A98" s="36">
        <f t="shared" si="21"/>
        <v>86</v>
      </c>
      <c r="B98" s="79" t="s">
        <v>168</v>
      </c>
      <c r="C98" s="85" t="s">
        <v>175</v>
      </c>
      <c r="D98" s="55">
        <f t="shared" si="19"/>
        <v>0</v>
      </c>
      <c r="E98" s="40" t="s">
        <v>113</v>
      </c>
      <c r="F98" s="56">
        <v>74.25</v>
      </c>
      <c r="G98" s="57">
        <f t="shared" si="20"/>
        <v>0</v>
      </c>
      <c r="H98" s="75"/>
      <c r="I98" s="71">
        <v>0</v>
      </c>
      <c r="J98" s="72">
        <v>0</v>
      </c>
      <c r="K98" s="72">
        <v>0</v>
      </c>
      <c r="L98" s="72">
        <v>0</v>
      </c>
      <c r="M98" s="72">
        <v>34</v>
      </c>
      <c r="N98" s="72">
        <v>0</v>
      </c>
      <c r="O98" s="73">
        <v>0</v>
      </c>
      <c r="P98" s="35">
        <v>1</v>
      </c>
      <c r="V98" s="132"/>
    </row>
    <row r="99" spans="1:22" ht="35.25" customHeight="1" thickBot="1">
      <c r="A99" s="36">
        <f>A98+1</f>
        <v>87</v>
      </c>
      <c r="B99" s="79" t="s">
        <v>169</v>
      </c>
      <c r="C99" s="85" t="s">
        <v>170</v>
      </c>
      <c r="D99" s="55">
        <f t="shared" si="19"/>
        <v>1123</v>
      </c>
      <c r="E99" s="40" t="s">
        <v>105</v>
      </c>
      <c r="F99" s="56">
        <v>149.9</v>
      </c>
      <c r="G99" s="57">
        <f t="shared" si="20"/>
        <v>168337.7</v>
      </c>
      <c r="H99" s="75"/>
      <c r="I99" s="71">
        <v>192</v>
      </c>
      <c r="J99" s="72">
        <v>81</v>
      </c>
      <c r="K99" s="72">
        <v>3</v>
      </c>
      <c r="L99" s="72">
        <f>45.5+303.5+777-K99</f>
        <v>1123</v>
      </c>
      <c r="M99" s="72">
        <v>0</v>
      </c>
      <c r="N99" s="72">
        <v>199</v>
      </c>
      <c r="O99" s="73">
        <v>0</v>
      </c>
      <c r="P99" s="35">
        <v>1</v>
      </c>
      <c r="V99" s="132"/>
    </row>
    <row r="100" spans="1:44" ht="24.75" customHeight="1" thickBot="1">
      <c r="A100" s="87" t="s">
        <v>171</v>
      </c>
      <c r="B100" s="217" t="s">
        <v>117</v>
      </c>
      <c r="C100" s="218"/>
      <c r="D100" s="218"/>
      <c r="E100" s="218"/>
      <c r="F100" s="218"/>
      <c r="G100" s="219"/>
      <c r="H100" s="59">
        <f>SUM(G85:G99)</f>
        <v>290828.96</v>
      </c>
      <c r="I100" s="214" t="s">
        <v>117</v>
      </c>
      <c r="J100" s="215"/>
      <c r="K100" s="215"/>
      <c r="L100" s="215"/>
      <c r="M100" s="215"/>
      <c r="N100" s="215"/>
      <c r="O100" s="216"/>
      <c r="P100" s="60"/>
      <c r="V100" s="133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R100" s="132">
        <f aca="true" t="shared" si="22" ref="AR100:AR116">G98</f>
        <v>0</v>
      </c>
    </row>
    <row r="101" spans="1:44" ht="45">
      <c r="A101" s="24">
        <f>A99+1</f>
        <v>88</v>
      </c>
      <c r="B101" s="88" t="s">
        <v>118</v>
      </c>
      <c r="C101" s="89" t="s">
        <v>234</v>
      </c>
      <c r="D101" s="39">
        <f>(I101*$I$6+J101*$J$6+K101*$K$6+L101*$L$6+M101*$M$6+N101*$N$6+O101*$O$6)*P101</f>
        <v>1721.8</v>
      </c>
      <c r="E101" s="28" t="s">
        <v>105</v>
      </c>
      <c r="F101" s="41">
        <v>75.5</v>
      </c>
      <c r="G101" s="42">
        <f>ROUND(D101*F101,2)</f>
        <v>129995.9</v>
      </c>
      <c r="H101" s="31"/>
      <c r="I101" s="71">
        <v>243.9</v>
      </c>
      <c r="J101" s="72">
        <f>112.6</f>
        <v>112.6</v>
      </c>
      <c r="K101" s="72">
        <v>74.3</v>
      </c>
      <c r="L101" s="72">
        <f>74.3+328.5+431.8+961.5-K101</f>
        <v>1721.8</v>
      </c>
      <c r="M101" s="72">
        <v>4.5</v>
      </c>
      <c r="N101" s="72">
        <v>0</v>
      </c>
      <c r="O101" s="73">
        <v>50.4</v>
      </c>
      <c r="P101" s="35">
        <v>1</v>
      </c>
      <c r="V101" s="133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R101" s="132">
        <f t="shared" si="22"/>
        <v>168337.7</v>
      </c>
    </row>
    <row r="102" spans="1:44" ht="45">
      <c r="A102" s="36">
        <f>A101+1</f>
        <v>89</v>
      </c>
      <c r="B102" s="90" t="s">
        <v>118</v>
      </c>
      <c r="C102" s="91" t="s">
        <v>233</v>
      </c>
      <c r="D102" s="39">
        <f>(I102*$I$6+J102*$J$6+K102*$K$6+L102*$L$6+M102*$M$6+N102*$N$6+O102*$O$6)*P102</f>
        <v>344</v>
      </c>
      <c r="E102" s="92" t="s">
        <v>105</v>
      </c>
      <c r="F102" s="41">
        <v>72.8</v>
      </c>
      <c r="G102" s="42">
        <f>ROUND(D102*F102,2)</f>
        <v>25043.2</v>
      </c>
      <c r="H102" s="31"/>
      <c r="I102" s="71">
        <v>28</v>
      </c>
      <c r="J102" s="72">
        <v>0</v>
      </c>
      <c r="K102" s="72">
        <v>21.5</v>
      </c>
      <c r="L102" s="72">
        <f>21.5+137.5+206.5-K102</f>
        <v>344</v>
      </c>
      <c r="M102" s="72">
        <v>0</v>
      </c>
      <c r="N102" s="72">
        <v>0</v>
      </c>
      <c r="O102" s="73">
        <v>10</v>
      </c>
      <c r="P102" s="35">
        <v>1</v>
      </c>
      <c r="V102" s="133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R102" s="132">
        <f t="shared" si="22"/>
        <v>0</v>
      </c>
    </row>
    <row r="103" spans="1:44" ht="45">
      <c r="A103" s="93">
        <f>A102+1</f>
        <v>90</v>
      </c>
      <c r="B103" s="79" t="s">
        <v>142</v>
      </c>
      <c r="C103" s="85" t="s">
        <v>211</v>
      </c>
      <c r="D103" s="39">
        <f>(I103*$I$6+J103*$J$6+K103*$K$6+L103*$L$6+M103*$M$6+N103*$N$6+O103*$O$6)*P103</f>
        <v>0</v>
      </c>
      <c r="E103" s="40" t="s">
        <v>105</v>
      </c>
      <c r="F103" s="41">
        <v>73.3</v>
      </c>
      <c r="G103" s="42">
        <f>ROUND(D103*F103,2)</f>
        <v>0</v>
      </c>
      <c r="H103" s="31"/>
      <c r="I103" s="71">
        <v>1222.1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3">
        <v>0</v>
      </c>
      <c r="P103" s="35">
        <v>1</v>
      </c>
      <c r="V103" s="133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R103" s="132">
        <f t="shared" si="22"/>
        <v>129995.9</v>
      </c>
    </row>
    <row r="104" spans="1:44" ht="48.75" customHeight="1">
      <c r="A104" s="36">
        <f>A103+1</f>
        <v>91</v>
      </c>
      <c r="B104" s="94" t="s">
        <v>142</v>
      </c>
      <c r="C104" s="95" t="s">
        <v>278</v>
      </c>
      <c r="D104" s="39">
        <f>(I104*$I$6+J104*$J$6+K104*$K$6+L104*$L$6+M104*$M$6+N104*$N$6+O104*$O$6)*P104</f>
        <v>3625.000000000001</v>
      </c>
      <c r="E104" s="96" t="s">
        <v>105</v>
      </c>
      <c r="F104" s="41">
        <v>69.5</v>
      </c>
      <c r="G104" s="42">
        <f>ROUND(D104*F104,2)</f>
        <v>251937.5</v>
      </c>
      <c r="H104" s="97"/>
      <c r="I104" s="71">
        <v>0</v>
      </c>
      <c r="J104" s="72">
        <v>106.4</v>
      </c>
      <c r="K104" s="72">
        <v>794.7</v>
      </c>
      <c r="L104" s="72">
        <f>697.5+583.7+3244.9-106.4-K104</f>
        <v>3625.000000000001</v>
      </c>
      <c r="M104" s="72">
        <v>0</v>
      </c>
      <c r="N104" s="72">
        <v>0</v>
      </c>
      <c r="O104" s="73">
        <v>87.25</v>
      </c>
      <c r="P104" s="35">
        <v>1</v>
      </c>
      <c r="V104" s="133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R104" s="132">
        <f t="shared" si="22"/>
        <v>25043.2</v>
      </c>
    </row>
    <row r="105" spans="1:44" ht="37.5" customHeight="1" thickBot="1">
      <c r="A105" s="98">
        <f>A104+1</f>
        <v>92</v>
      </c>
      <c r="B105" s="99" t="s">
        <v>129</v>
      </c>
      <c r="C105" s="100" t="s">
        <v>221</v>
      </c>
      <c r="D105" s="101">
        <f>(I105*$I$6+J105*$J$6+K105*$K$6+L105*$L$6+M105*$M$6+N105*$N$6+O105*$O$6)*P105</f>
        <v>8477.95</v>
      </c>
      <c r="E105" s="102" t="s">
        <v>105</v>
      </c>
      <c r="F105" s="41">
        <v>39.4</v>
      </c>
      <c r="G105" s="42">
        <f>ROUND(D105*F105,2)</f>
        <v>334031.23</v>
      </c>
      <c r="H105" s="74"/>
      <c r="I105" s="103">
        <v>1423.4</v>
      </c>
      <c r="J105" s="82">
        <f>155.65+59</f>
        <v>214.65</v>
      </c>
      <c r="K105" s="82">
        <v>537.8</v>
      </c>
      <c r="L105" s="82">
        <f>655.2+2324+5828.7-155.65+363.5-K105</f>
        <v>8477.95</v>
      </c>
      <c r="M105" s="82">
        <v>35.85</v>
      </c>
      <c r="N105" s="82">
        <v>0</v>
      </c>
      <c r="O105" s="104">
        <v>60.65</v>
      </c>
      <c r="P105" s="35">
        <v>1</v>
      </c>
      <c r="V105" s="133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R105" s="132">
        <f t="shared" si="22"/>
        <v>0</v>
      </c>
    </row>
    <row r="106" spans="1:44" ht="24.75" customHeight="1" thickBot="1">
      <c r="A106" s="20" t="s">
        <v>179</v>
      </c>
      <c r="B106" s="211" t="s">
        <v>180</v>
      </c>
      <c r="C106" s="212"/>
      <c r="D106" s="212"/>
      <c r="E106" s="212"/>
      <c r="F106" s="212"/>
      <c r="G106" s="213"/>
      <c r="H106" s="77">
        <f>SUM(G101:G105)</f>
        <v>741007.83</v>
      </c>
      <c r="I106" s="105"/>
      <c r="J106" s="105"/>
      <c r="K106" s="105"/>
      <c r="L106" s="105"/>
      <c r="M106" s="105"/>
      <c r="N106" s="105"/>
      <c r="O106" s="105"/>
      <c r="P106" s="60"/>
      <c r="V106" s="133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R106" s="132">
        <f t="shared" si="22"/>
        <v>251937.5</v>
      </c>
    </row>
    <row r="107" spans="1:44" ht="43.5" customHeight="1">
      <c r="A107" s="24">
        <f>A105+1</f>
        <v>93</v>
      </c>
      <c r="B107" s="106" t="s">
        <v>185</v>
      </c>
      <c r="C107" s="89" t="s">
        <v>262</v>
      </c>
      <c r="D107" s="39">
        <f aca="true" t="shared" si="23" ref="D107:D115">(I107*$I$6+J107*$J$6+K107*$K$6+L107*$L$6+M107*$M$6+N107*$N$6+O107*$O$6)*P107</f>
        <v>0</v>
      </c>
      <c r="E107" s="28" t="s">
        <v>105</v>
      </c>
      <c r="F107" s="29">
        <v>94.25</v>
      </c>
      <c r="G107" s="42">
        <f aca="true" t="shared" si="24" ref="G107:G115">ROUND(D107*F107,2)</f>
        <v>0</v>
      </c>
      <c r="H107" s="31"/>
      <c r="I107" s="107">
        <v>0</v>
      </c>
      <c r="J107" s="108">
        <v>0</v>
      </c>
      <c r="K107" s="108">
        <v>0</v>
      </c>
      <c r="L107" s="108">
        <v>0</v>
      </c>
      <c r="M107" s="108">
        <v>48</v>
      </c>
      <c r="N107" s="108">
        <v>0</v>
      </c>
      <c r="O107" s="109">
        <v>0</v>
      </c>
      <c r="P107" s="35">
        <v>1</v>
      </c>
      <c r="Q107" s="110"/>
      <c r="V107" s="133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R107" s="132">
        <f t="shared" si="22"/>
        <v>334031.23</v>
      </c>
    </row>
    <row r="108" spans="1:44" ht="36" customHeight="1">
      <c r="A108" s="111">
        <f>A107+1</f>
        <v>94</v>
      </c>
      <c r="B108" s="37" t="s">
        <v>185</v>
      </c>
      <c r="C108" s="95" t="s">
        <v>263</v>
      </c>
      <c r="D108" s="39">
        <f t="shared" si="23"/>
        <v>0</v>
      </c>
      <c r="E108" s="40" t="s">
        <v>113</v>
      </c>
      <c r="F108" s="56">
        <v>682.3</v>
      </c>
      <c r="G108" s="42">
        <f t="shared" si="24"/>
        <v>0</v>
      </c>
      <c r="H108" s="31"/>
      <c r="I108" s="107">
        <v>6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73">
        <v>0</v>
      </c>
      <c r="P108" s="35">
        <v>1</v>
      </c>
      <c r="V108" s="133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R108" s="132">
        <f t="shared" si="22"/>
        <v>0</v>
      </c>
    </row>
    <row r="109" spans="1:44" ht="67.5" customHeight="1">
      <c r="A109" s="111">
        <f aca="true" t="shared" si="25" ref="A109:A115">A108+1</f>
        <v>95</v>
      </c>
      <c r="B109" s="37" t="s">
        <v>185</v>
      </c>
      <c r="C109" s="95" t="s">
        <v>264</v>
      </c>
      <c r="D109" s="39">
        <f t="shared" si="23"/>
        <v>0</v>
      </c>
      <c r="E109" s="40" t="s">
        <v>105</v>
      </c>
      <c r="F109" s="56">
        <v>81</v>
      </c>
      <c r="G109" s="42">
        <f t="shared" si="24"/>
        <v>0</v>
      </c>
      <c r="H109" s="31"/>
      <c r="I109" s="107">
        <v>0</v>
      </c>
      <c r="J109" s="108">
        <v>0</v>
      </c>
      <c r="K109" s="108">
        <v>0</v>
      </c>
      <c r="L109" s="108">
        <v>0</v>
      </c>
      <c r="M109" s="108">
        <v>430</v>
      </c>
      <c r="N109" s="108">
        <v>0</v>
      </c>
      <c r="O109" s="73">
        <v>0</v>
      </c>
      <c r="P109" s="35">
        <v>1</v>
      </c>
      <c r="V109" s="133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R109" s="132">
        <f t="shared" si="22"/>
        <v>0</v>
      </c>
    </row>
    <row r="110" spans="1:44" ht="41.25" customHeight="1">
      <c r="A110" s="111">
        <f t="shared" si="25"/>
        <v>96</v>
      </c>
      <c r="B110" s="37" t="s">
        <v>185</v>
      </c>
      <c r="C110" s="95" t="s">
        <v>265</v>
      </c>
      <c r="D110" s="39">
        <f t="shared" si="23"/>
        <v>0</v>
      </c>
      <c r="E110" s="40" t="s">
        <v>105</v>
      </c>
      <c r="F110" s="56">
        <v>14.1</v>
      </c>
      <c r="G110" s="42">
        <f t="shared" si="24"/>
        <v>0</v>
      </c>
      <c r="H110" s="31"/>
      <c r="I110" s="107">
        <v>0</v>
      </c>
      <c r="J110" s="108">
        <v>0</v>
      </c>
      <c r="K110" s="108">
        <v>0</v>
      </c>
      <c r="L110" s="108">
        <v>0</v>
      </c>
      <c r="M110" s="108">
        <v>430</v>
      </c>
      <c r="N110" s="108">
        <v>0</v>
      </c>
      <c r="O110" s="109">
        <v>0</v>
      </c>
      <c r="P110" s="35">
        <v>1</v>
      </c>
      <c r="V110" s="133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R110" s="132">
        <f t="shared" si="22"/>
        <v>0</v>
      </c>
    </row>
    <row r="111" spans="1:44" ht="41.25" customHeight="1">
      <c r="A111" s="111">
        <f t="shared" si="25"/>
        <v>97</v>
      </c>
      <c r="B111" s="112" t="s">
        <v>185</v>
      </c>
      <c r="C111" s="95" t="s">
        <v>187</v>
      </c>
      <c r="D111" s="39">
        <f t="shared" si="23"/>
        <v>0</v>
      </c>
      <c r="E111" s="96" t="s">
        <v>188</v>
      </c>
      <c r="F111" s="41">
        <v>1266.79</v>
      </c>
      <c r="G111" s="42">
        <f t="shared" si="24"/>
        <v>0</v>
      </c>
      <c r="H111" s="31"/>
      <c r="I111" s="107">
        <v>0</v>
      </c>
      <c r="J111" s="108">
        <v>0</v>
      </c>
      <c r="K111" s="108">
        <v>0</v>
      </c>
      <c r="L111" s="108">
        <v>0</v>
      </c>
      <c r="M111" s="108">
        <v>1</v>
      </c>
      <c r="N111" s="108">
        <v>0</v>
      </c>
      <c r="O111" s="73">
        <v>0</v>
      </c>
      <c r="P111" s="35">
        <v>1</v>
      </c>
      <c r="V111" s="133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R111" s="132">
        <f t="shared" si="22"/>
        <v>0</v>
      </c>
    </row>
    <row r="112" spans="1:44" ht="46.5" customHeight="1">
      <c r="A112" s="111">
        <f t="shared" si="25"/>
        <v>98</v>
      </c>
      <c r="B112" s="37" t="s">
        <v>185</v>
      </c>
      <c r="C112" s="85" t="s">
        <v>189</v>
      </c>
      <c r="D112" s="39">
        <f t="shared" si="23"/>
        <v>0</v>
      </c>
      <c r="E112" s="40" t="s">
        <v>188</v>
      </c>
      <c r="F112" s="56">
        <v>232.4</v>
      </c>
      <c r="G112" s="42">
        <f t="shared" si="24"/>
        <v>0</v>
      </c>
      <c r="H112" s="31"/>
      <c r="I112" s="107">
        <v>0</v>
      </c>
      <c r="J112" s="108">
        <v>0</v>
      </c>
      <c r="K112" s="108">
        <v>0</v>
      </c>
      <c r="L112" s="108">
        <v>0</v>
      </c>
      <c r="M112" s="108">
        <v>23</v>
      </c>
      <c r="N112" s="108">
        <v>0</v>
      </c>
      <c r="O112" s="73">
        <v>0</v>
      </c>
      <c r="P112" s="35">
        <v>1</v>
      </c>
      <c r="V112" s="133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R112" s="132">
        <f t="shared" si="22"/>
        <v>0</v>
      </c>
    </row>
    <row r="113" spans="1:44" ht="55.5" customHeight="1">
      <c r="A113" s="111">
        <f t="shared" si="25"/>
        <v>99</v>
      </c>
      <c r="B113" s="37" t="s">
        <v>186</v>
      </c>
      <c r="C113" s="95" t="s">
        <v>266</v>
      </c>
      <c r="D113" s="39">
        <f t="shared" si="23"/>
        <v>77</v>
      </c>
      <c r="E113" s="96" t="s">
        <v>105</v>
      </c>
      <c r="F113" s="41">
        <v>108</v>
      </c>
      <c r="G113" s="42">
        <f t="shared" si="24"/>
        <v>8316</v>
      </c>
      <c r="H113" s="31"/>
      <c r="I113" s="107">
        <v>79</v>
      </c>
      <c r="J113" s="108">
        <v>0</v>
      </c>
      <c r="K113" s="108">
        <v>10</v>
      </c>
      <c r="L113" s="108">
        <v>77</v>
      </c>
      <c r="M113" s="108">
        <v>0</v>
      </c>
      <c r="N113" s="108">
        <v>0</v>
      </c>
      <c r="O113" s="109">
        <v>0</v>
      </c>
      <c r="P113" s="35">
        <v>1</v>
      </c>
      <c r="V113" s="133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R113" s="132">
        <f t="shared" si="22"/>
        <v>0</v>
      </c>
    </row>
    <row r="114" spans="1:44" ht="70.5" customHeight="1">
      <c r="A114" s="111">
        <f t="shared" si="25"/>
        <v>100</v>
      </c>
      <c r="B114" s="37" t="s">
        <v>186</v>
      </c>
      <c r="C114" s="95" t="s">
        <v>267</v>
      </c>
      <c r="D114" s="39">
        <f t="shared" si="23"/>
        <v>0</v>
      </c>
      <c r="E114" s="96" t="s">
        <v>105</v>
      </c>
      <c r="F114" s="56">
        <v>128.3</v>
      </c>
      <c r="G114" s="42">
        <f t="shared" si="24"/>
        <v>0</v>
      </c>
      <c r="H114" s="31"/>
      <c r="I114" s="71">
        <v>55</v>
      </c>
      <c r="J114" s="72">
        <v>0</v>
      </c>
      <c r="K114" s="72">
        <v>55</v>
      </c>
      <c r="L114" s="72">
        <v>0</v>
      </c>
      <c r="M114" s="72">
        <v>0</v>
      </c>
      <c r="N114" s="72">
        <v>1</v>
      </c>
      <c r="O114" s="73">
        <v>0</v>
      </c>
      <c r="P114" s="35">
        <v>1</v>
      </c>
      <c r="V114" s="133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R114" s="132">
        <f t="shared" si="22"/>
        <v>0</v>
      </c>
    </row>
    <row r="115" spans="1:44" ht="39" customHeight="1" thickBot="1">
      <c r="A115" s="93">
        <f t="shared" si="25"/>
        <v>101</v>
      </c>
      <c r="B115" s="113" t="s">
        <v>186</v>
      </c>
      <c r="C115" s="91" t="s">
        <v>268</v>
      </c>
      <c r="D115" s="114">
        <f t="shared" si="23"/>
        <v>0</v>
      </c>
      <c r="E115" s="92" t="s">
        <v>113</v>
      </c>
      <c r="F115" s="115">
        <f>F108</f>
        <v>682.3</v>
      </c>
      <c r="G115" s="116">
        <f t="shared" si="24"/>
        <v>0</v>
      </c>
      <c r="H115" s="31"/>
      <c r="I115" s="117">
        <v>1</v>
      </c>
      <c r="J115" s="118">
        <v>0</v>
      </c>
      <c r="K115" s="118">
        <v>1</v>
      </c>
      <c r="L115" s="118">
        <v>0</v>
      </c>
      <c r="M115" s="118">
        <v>0</v>
      </c>
      <c r="N115" s="118">
        <v>1</v>
      </c>
      <c r="O115" s="119">
        <v>0</v>
      </c>
      <c r="P115" s="35">
        <v>1</v>
      </c>
      <c r="V115" s="133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R115" s="132">
        <f t="shared" si="22"/>
        <v>8316</v>
      </c>
    </row>
    <row r="116" spans="1:44" ht="35.25" customHeight="1">
      <c r="A116" s="220" t="s">
        <v>269</v>
      </c>
      <c r="B116" s="221"/>
      <c r="C116" s="221"/>
      <c r="D116" s="221"/>
      <c r="E116" s="221"/>
      <c r="F116" s="222"/>
      <c r="G116" s="120">
        <f>SUM(G7:G115)</f>
        <v>4182855.96</v>
      </c>
      <c r="H116" s="59">
        <f>SUM(G107:G115)</f>
        <v>8316</v>
      </c>
      <c r="V116" s="133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R116" s="132">
        <f t="shared" si="22"/>
        <v>0</v>
      </c>
    </row>
    <row r="117" spans="1:37" ht="35.25" customHeight="1">
      <c r="A117" s="223" t="s">
        <v>270</v>
      </c>
      <c r="B117" s="224"/>
      <c r="C117" s="224"/>
      <c r="D117" s="224"/>
      <c r="E117" s="224"/>
      <c r="F117" s="225"/>
      <c r="G117" s="121">
        <f>G116-G118</f>
        <v>782160.0575609757</v>
      </c>
      <c r="V117" s="133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</row>
    <row r="118" spans="1:44" ht="35.25" customHeight="1" thickBot="1">
      <c r="A118" s="208" t="s">
        <v>271</v>
      </c>
      <c r="B118" s="209"/>
      <c r="C118" s="209"/>
      <c r="D118" s="209"/>
      <c r="E118" s="209"/>
      <c r="F118" s="210"/>
      <c r="G118" s="122">
        <f>G116/1.23</f>
        <v>3400695.9024390243</v>
      </c>
      <c r="H118" s="123">
        <f>SUM(H36:H116)</f>
        <v>4182855.9600000004</v>
      </c>
      <c r="V118" s="133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R118" s="132">
        <f>SUM(AR20:AR117)</f>
        <v>917661.53</v>
      </c>
    </row>
    <row r="121" ht="19.5" thickBot="1"/>
    <row r="122" ht="18.75">
      <c r="G122" s="126"/>
    </row>
    <row r="123" ht="18.75">
      <c r="H123" s="127"/>
    </row>
    <row r="124" spans="7:8" ht="18.75">
      <c r="G124" s="128">
        <v>7837604.8</v>
      </c>
      <c r="H124" s="127"/>
    </row>
    <row r="125" ht="18.75">
      <c r="G125" s="129"/>
    </row>
    <row r="126" ht="18.75">
      <c r="G126" s="135"/>
    </row>
  </sheetData>
  <sheetProtection sheet="1" objects="1" scenarios="1" formatCells="0" formatColumns="0" formatRows="0" insertColumns="0" insertRows="0" insertHyperlinks="0" deleteColumns="0" deleteRows="0" sort="0"/>
  <mergeCells count="34">
    <mergeCell ref="A1:G1"/>
    <mergeCell ref="A2:G2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B55:G55"/>
    <mergeCell ref="I55:O55"/>
    <mergeCell ref="B38:G38"/>
    <mergeCell ref="I38:O38"/>
    <mergeCell ref="O3:O4"/>
    <mergeCell ref="B65:G65"/>
    <mergeCell ref="I65:O65"/>
    <mergeCell ref="B81:G81"/>
    <mergeCell ref="I81:O81"/>
    <mergeCell ref="P3:P4"/>
    <mergeCell ref="B6:G6"/>
    <mergeCell ref="B36:G36"/>
    <mergeCell ref="I36:O36"/>
    <mergeCell ref="I3:I4"/>
    <mergeCell ref="J3:J4"/>
    <mergeCell ref="A118:F118"/>
    <mergeCell ref="B84:G84"/>
    <mergeCell ref="I84:O84"/>
    <mergeCell ref="B100:G100"/>
    <mergeCell ref="I100:O100"/>
    <mergeCell ref="B106:G106"/>
    <mergeCell ref="A116:F116"/>
    <mergeCell ref="A117:F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S2" sqref="S2"/>
    </sheetView>
  </sheetViews>
  <sheetFormatPr defaultColWidth="8.796875" defaultRowHeight="14.25"/>
  <cols>
    <col min="1" max="1" width="6.59765625" style="124" customWidth="1"/>
    <col min="2" max="2" width="11.59765625" style="125" customWidth="1"/>
    <col min="3" max="3" width="55.19921875" style="125" customWidth="1"/>
    <col min="4" max="4" width="12.8984375" style="124" customWidth="1"/>
    <col min="5" max="5" width="8.59765625" style="124" customWidth="1"/>
    <col min="6" max="6" width="15.59765625" style="124" customWidth="1"/>
    <col min="7" max="7" width="19.59765625" style="124" customWidth="1"/>
    <col min="8" max="8" width="22.3984375" style="10" hidden="1" customWidth="1"/>
    <col min="9" max="9" width="13.59765625" style="9" hidden="1" customWidth="1"/>
    <col min="10" max="10" width="19" style="9" hidden="1" customWidth="1"/>
    <col min="11" max="11" width="18.59765625" style="9" hidden="1" customWidth="1"/>
    <col min="12" max="12" width="14.8984375" style="9" hidden="1" customWidth="1"/>
    <col min="13" max="13" width="13.59765625" style="9" hidden="1" customWidth="1"/>
    <col min="14" max="14" width="11.69921875" style="9" hidden="1" customWidth="1"/>
    <col min="15" max="15" width="11.5" style="9" hidden="1" customWidth="1"/>
    <col min="16" max="16" width="17.8984375" style="9" hidden="1" customWidth="1"/>
    <col min="17" max="17" width="0" style="9" hidden="1" customWidth="1"/>
    <col min="18" max="16384" width="9" style="9" customWidth="1"/>
  </cols>
  <sheetData>
    <row r="1" spans="1:8" ht="56.25" customHeight="1">
      <c r="A1" s="233" t="s">
        <v>279</v>
      </c>
      <c r="B1" s="234"/>
      <c r="C1" s="234"/>
      <c r="D1" s="234"/>
      <c r="E1" s="234"/>
      <c r="F1" s="234"/>
      <c r="G1" s="234"/>
      <c r="H1" s="8">
        <f>G124-G116</f>
        <v>4182855.8999999994</v>
      </c>
    </row>
    <row r="2" spans="1:11" ht="83.25" customHeight="1" thickBot="1">
      <c r="A2" s="235" t="s">
        <v>210</v>
      </c>
      <c r="B2" s="236"/>
      <c r="C2" s="236"/>
      <c r="D2" s="236"/>
      <c r="E2" s="236"/>
      <c r="F2" s="236"/>
      <c r="G2" s="236"/>
      <c r="J2" s="11" t="s">
        <v>208</v>
      </c>
      <c r="K2" s="11" t="s">
        <v>220</v>
      </c>
    </row>
    <row r="3" spans="1:16" ht="37.5">
      <c r="A3" s="237" t="s">
        <v>97</v>
      </c>
      <c r="B3" s="239" t="s">
        <v>98</v>
      </c>
      <c r="C3" s="241" t="s">
        <v>99</v>
      </c>
      <c r="D3" s="239" t="s">
        <v>101</v>
      </c>
      <c r="E3" s="239" t="s">
        <v>212</v>
      </c>
      <c r="F3" s="12" t="s">
        <v>238</v>
      </c>
      <c r="G3" s="13" t="s">
        <v>239</v>
      </c>
      <c r="H3" s="14"/>
      <c r="I3" s="231" t="s">
        <v>147</v>
      </c>
      <c r="J3" s="232" t="s">
        <v>151</v>
      </c>
      <c r="K3" s="232" t="s">
        <v>207</v>
      </c>
      <c r="L3" s="232" t="s">
        <v>206</v>
      </c>
      <c r="M3" s="232" t="s">
        <v>148</v>
      </c>
      <c r="N3" s="231" t="s">
        <v>149</v>
      </c>
      <c r="O3" s="226" t="s">
        <v>150</v>
      </c>
      <c r="P3" s="226" t="s">
        <v>181</v>
      </c>
    </row>
    <row r="4" spans="1:16" ht="18.75">
      <c r="A4" s="238"/>
      <c r="B4" s="240"/>
      <c r="C4" s="242"/>
      <c r="D4" s="240"/>
      <c r="E4" s="240"/>
      <c r="F4" s="15" t="s">
        <v>100</v>
      </c>
      <c r="G4" s="16" t="s">
        <v>100</v>
      </c>
      <c r="I4" s="231"/>
      <c r="J4" s="232"/>
      <c r="K4" s="232"/>
      <c r="L4" s="232"/>
      <c r="M4" s="232"/>
      <c r="N4" s="231"/>
      <c r="O4" s="226"/>
      <c r="P4" s="226"/>
    </row>
    <row r="5" spans="1:7" ht="19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</row>
    <row r="6" spans="1:15" ht="24.75" customHeight="1" thickBot="1">
      <c r="A6" s="20" t="s">
        <v>102</v>
      </c>
      <c r="B6" s="211" t="s">
        <v>103</v>
      </c>
      <c r="C6" s="212"/>
      <c r="D6" s="212"/>
      <c r="E6" s="212"/>
      <c r="F6" s="212"/>
      <c r="G6" s="213"/>
      <c r="I6" s="21">
        <v>1</v>
      </c>
      <c r="J6" s="22">
        <v>1</v>
      </c>
      <c r="K6" s="22">
        <v>1</v>
      </c>
      <c r="L6" s="22">
        <v>0</v>
      </c>
      <c r="M6" s="22">
        <v>1</v>
      </c>
      <c r="N6" s="22">
        <v>0</v>
      </c>
      <c r="O6" s="23">
        <v>0</v>
      </c>
    </row>
    <row r="7" spans="1:16" ht="37.5" customHeight="1">
      <c r="A7" s="24">
        <v>1</v>
      </c>
      <c r="B7" s="25" t="s">
        <v>104</v>
      </c>
      <c r="C7" s="26" t="s">
        <v>152</v>
      </c>
      <c r="D7" s="27">
        <f>((I7*$I$6+J7*$J$6+K7*K6+L7*$L$6+M7*$M$6+N7*$N$6+O7*$O$6)*0.001)*P7</f>
        <v>2.7605299999999997</v>
      </c>
      <c r="E7" s="28" t="s">
        <v>132</v>
      </c>
      <c r="F7" s="29">
        <v>1527.47</v>
      </c>
      <c r="G7" s="30">
        <f>ROUND(D7*F7,2)</f>
        <v>4216.63</v>
      </c>
      <c r="H7" s="31"/>
      <c r="I7" s="32">
        <v>585.28</v>
      </c>
      <c r="J7" s="33">
        <v>137.25</v>
      </c>
      <c r="K7" s="33">
        <v>378.8</v>
      </c>
      <c r="L7" s="33">
        <f>2988.78-K7</f>
        <v>2609.98</v>
      </c>
      <c r="M7" s="33">
        <v>1659.2</v>
      </c>
      <c r="N7" s="33">
        <v>46.13</v>
      </c>
      <c r="O7" s="34">
        <v>70.15</v>
      </c>
      <c r="P7" s="35">
        <v>1</v>
      </c>
    </row>
    <row r="8" spans="1:16" ht="37.5" customHeight="1">
      <c r="A8" s="36">
        <f>A7+1</f>
        <v>2</v>
      </c>
      <c r="B8" s="37" t="s">
        <v>121</v>
      </c>
      <c r="C8" s="38" t="s">
        <v>153</v>
      </c>
      <c r="D8" s="39">
        <f>(I8*$I$6+J8*$J$6+L8*$L$6+M8*$M$6+N8*$N$6+O8*$O$6)*P8</f>
        <v>0</v>
      </c>
      <c r="E8" s="40" t="s">
        <v>106</v>
      </c>
      <c r="F8" s="41">
        <v>3.41</v>
      </c>
      <c r="G8" s="42">
        <f>ROUND(D8*F8,2)</f>
        <v>0</v>
      </c>
      <c r="H8" s="43"/>
      <c r="I8" s="44">
        <v>0</v>
      </c>
      <c r="J8" s="45">
        <v>0</v>
      </c>
      <c r="K8" s="45"/>
      <c r="L8" s="45">
        <v>40.5</v>
      </c>
      <c r="M8" s="45">
        <v>0</v>
      </c>
      <c r="N8" s="45">
        <v>0</v>
      </c>
      <c r="O8" s="46">
        <v>0</v>
      </c>
      <c r="P8" s="47">
        <v>1</v>
      </c>
    </row>
    <row r="9" spans="1:16" ht="64.5" customHeight="1">
      <c r="A9" s="36">
        <f aca="true" t="shared" si="0" ref="A9:A35">A8+1</f>
        <v>3</v>
      </c>
      <c r="B9" s="37" t="s">
        <v>121</v>
      </c>
      <c r="C9" s="38" t="s">
        <v>240</v>
      </c>
      <c r="D9" s="39">
        <f aca="true" t="shared" si="1" ref="D9:D17">(I9*$I$6+J9*$J$6+L9*$L$6+M9*$M$6+N9*$N$6+O9*$O$6)*P9</f>
        <v>0</v>
      </c>
      <c r="E9" s="40" t="s">
        <v>106</v>
      </c>
      <c r="F9" s="41">
        <v>20.41</v>
      </c>
      <c r="G9" s="42">
        <f aca="true" t="shared" si="2" ref="G9:G35">ROUND(D9*F9,2)</f>
        <v>0</v>
      </c>
      <c r="H9" s="48"/>
      <c r="I9" s="44">
        <v>0</v>
      </c>
      <c r="J9" s="45">
        <v>0</v>
      </c>
      <c r="K9" s="45"/>
      <c r="L9" s="45">
        <v>120</v>
      </c>
      <c r="M9" s="45">
        <v>0</v>
      </c>
      <c r="N9" s="45">
        <v>0</v>
      </c>
      <c r="O9" s="46">
        <v>0</v>
      </c>
      <c r="P9" s="47">
        <v>1</v>
      </c>
    </row>
    <row r="10" spans="1:16" ht="60">
      <c r="A10" s="36">
        <f t="shared" si="0"/>
        <v>4</v>
      </c>
      <c r="B10" s="37" t="s">
        <v>121</v>
      </c>
      <c r="C10" s="38" t="s">
        <v>241</v>
      </c>
      <c r="D10" s="39">
        <f t="shared" si="1"/>
        <v>0</v>
      </c>
      <c r="E10" s="40" t="s">
        <v>113</v>
      </c>
      <c r="F10" s="41">
        <v>273.85</v>
      </c>
      <c r="G10" s="42">
        <f t="shared" si="2"/>
        <v>0</v>
      </c>
      <c r="H10" s="43"/>
      <c r="I10" s="44">
        <v>0</v>
      </c>
      <c r="J10" s="45">
        <v>0</v>
      </c>
      <c r="K10" s="45"/>
      <c r="L10" s="45">
        <v>2</v>
      </c>
      <c r="M10" s="45">
        <v>0</v>
      </c>
      <c r="N10" s="45">
        <v>0</v>
      </c>
      <c r="O10" s="46">
        <v>0</v>
      </c>
      <c r="P10" s="47">
        <v>1</v>
      </c>
    </row>
    <row r="11" spans="1:16" ht="60">
      <c r="A11" s="36">
        <f t="shared" si="0"/>
        <v>5</v>
      </c>
      <c r="B11" s="37" t="s">
        <v>121</v>
      </c>
      <c r="C11" s="38" t="s">
        <v>242</v>
      </c>
      <c r="D11" s="39">
        <f t="shared" si="1"/>
        <v>1</v>
      </c>
      <c r="E11" s="40" t="s">
        <v>113</v>
      </c>
      <c r="F11" s="41">
        <v>689.21</v>
      </c>
      <c r="G11" s="42">
        <f t="shared" si="2"/>
        <v>689.21</v>
      </c>
      <c r="H11" s="43"/>
      <c r="I11" s="44">
        <v>1</v>
      </c>
      <c r="J11" s="45">
        <v>0</v>
      </c>
      <c r="K11" s="45"/>
      <c r="L11" s="45">
        <v>1</v>
      </c>
      <c r="M11" s="45">
        <v>0</v>
      </c>
      <c r="N11" s="45">
        <v>0</v>
      </c>
      <c r="O11" s="46">
        <v>0</v>
      </c>
      <c r="P11" s="47">
        <v>1</v>
      </c>
    </row>
    <row r="12" spans="1:16" ht="60">
      <c r="A12" s="36">
        <f t="shared" si="0"/>
        <v>6</v>
      </c>
      <c r="B12" s="37" t="s">
        <v>121</v>
      </c>
      <c r="C12" s="38" t="s">
        <v>243</v>
      </c>
      <c r="D12" s="39">
        <f t="shared" si="1"/>
        <v>1</v>
      </c>
      <c r="E12" s="40" t="s">
        <v>113</v>
      </c>
      <c r="F12" s="41">
        <v>1102.56</v>
      </c>
      <c r="G12" s="42">
        <f t="shared" si="2"/>
        <v>1102.56</v>
      </c>
      <c r="H12" s="43"/>
      <c r="I12" s="44">
        <v>0</v>
      </c>
      <c r="J12" s="45">
        <v>0</v>
      </c>
      <c r="K12" s="45"/>
      <c r="L12" s="45">
        <v>2</v>
      </c>
      <c r="M12" s="45">
        <v>1</v>
      </c>
      <c r="N12" s="45">
        <v>1</v>
      </c>
      <c r="O12" s="46">
        <v>0</v>
      </c>
      <c r="P12" s="47">
        <v>1</v>
      </c>
    </row>
    <row r="13" spans="1:16" ht="60">
      <c r="A13" s="36">
        <f t="shared" si="0"/>
        <v>7</v>
      </c>
      <c r="B13" s="37" t="s">
        <v>121</v>
      </c>
      <c r="C13" s="38" t="s">
        <v>244</v>
      </c>
      <c r="D13" s="39">
        <f t="shared" si="1"/>
        <v>0</v>
      </c>
      <c r="E13" s="40" t="s">
        <v>113</v>
      </c>
      <c r="F13" s="41">
        <v>1235.69</v>
      </c>
      <c r="G13" s="42">
        <f t="shared" si="2"/>
        <v>0</v>
      </c>
      <c r="H13" s="43"/>
      <c r="I13" s="44">
        <v>0</v>
      </c>
      <c r="J13" s="45">
        <v>0</v>
      </c>
      <c r="K13" s="45"/>
      <c r="L13" s="45">
        <v>4</v>
      </c>
      <c r="M13" s="45">
        <v>0</v>
      </c>
      <c r="N13" s="45">
        <v>0</v>
      </c>
      <c r="O13" s="46">
        <v>0</v>
      </c>
      <c r="P13" s="47">
        <v>1</v>
      </c>
    </row>
    <row r="14" spans="1:16" ht="60">
      <c r="A14" s="36">
        <f t="shared" si="0"/>
        <v>8</v>
      </c>
      <c r="B14" s="37" t="s">
        <v>121</v>
      </c>
      <c r="C14" s="38" t="s">
        <v>245</v>
      </c>
      <c r="D14" s="39">
        <f t="shared" si="1"/>
        <v>0</v>
      </c>
      <c r="E14" s="40" t="s">
        <v>113</v>
      </c>
      <c r="F14" s="41">
        <v>1663.21</v>
      </c>
      <c r="G14" s="42">
        <f t="shared" si="2"/>
        <v>0</v>
      </c>
      <c r="H14" s="43"/>
      <c r="I14" s="44">
        <v>0</v>
      </c>
      <c r="J14" s="45">
        <v>0</v>
      </c>
      <c r="K14" s="45"/>
      <c r="L14" s="45">
        <v>4</v>
      </c>
      <c r="M14" s="45">
        <v>0</v>
      </c>
      <c r="N14" s="45">
        <v>0</v>
      </c>
      <c r="O14" s="46">
        <v>0</v>
      </c>
      <c r="P14" s="47">
        <v>1</v>
      </c>
    </row>
    <row r="15" spans="1:16" ht="60">
      <c r="A15" s="36">
        <f t="shared" si="0"/>
        <v>9</v>
      </c>
      <c r="B15" s="37" t="s">
        <v>121</v>
      </c>
      <c r="C15" s="38" t="s">
        <v>246</v>
      </c>
      <c r="D15" s="39">
        <f t="shared" si="1"/>
        <v>2</v>
      </c>
      <c r="E15" s="40" t="s">
        <v>113</v>
      </c>
      <c r="F15" s="41">
        <v>1925.46</v>
      </c>
      <c r="G15" s="42">
        <f t="shared" si="2"/>
        <v>3850.92</v>
      </c>
      <c r="H15" s="43"/>
      <c r="I15" s="44">
        <v>0</v>
      </c>
      <c r="J15" s="45">
        <v>0</v>
      </c>
      <c r="K15" s="45"/>
      <c r="L15" s="45">
        <v>3</v>
      </c>
      <c r="M15" s="45">
        <v>2</v>
      </c>
      <c r="N15" s="45">
        <v>0</v>
      </c>
      <c r="O15" s="46">
        <v>0</v>
      </c>
      <c r="P15" s="47">
        <v>1</v>
      </c>
    </row>
    <row r="16" spans="1:16" ht="60">
      <c r="A16" s="36">
        <f t="shared" si="0"/>
        <v>10</v>
      </c>
      <c r="B16" s="37" t="s">
        <v>121</v>
      </c>
      <c r="C16" s="38" t="s">
        <v>248</v>
      </c>
      <c r="D16" s="39">
        <f t="shared" si="1"/>
        <v>1</v>
      </c>
      <c r="E16" s="40" t="s">
        <v>113</v>
      </c>
      <c r="F16" s="41">
        <v>2231.19</v>
      </c>
      <c r="G16" s="42">
        <f t="shared" si="2"/>
        <v>2231.19</v>
      </c>
      <c r="H16" s="43"/>
      <c r="I16" s="44">
        <v>1</v>
      </c>
      <c r="J16" s="45">
        <v>0</v>
      </c>
      <c r="K16" s="45"/>
      <c r="L16" s="45">
        <v>2</v>
      </c>
      <c r="M16" s="45">
        <v>0</v>
      </c>
      <c r="N16" s="45">
        <v>0</v>
      </c>
      <c r="O16" s="46">
        <v>0</v>
      </c>
      <c r="P16" s="47">
        <v>1</v>
      </c>
    </row>
    <row r="17" spans="1:16" ht="64.5" customHeight="1">
      <c r="A17" s="36">
        <f t="shared" si="0"/>
        <v>11</v>
      </c>
      <c r="B17" s="37" t="s">
        <v>121</v>
      </c>
      <c r="C17" s="38" t="s">
        <v>249</v>
      </c>
      <c r="D17" s="39">
        <f t="shared" si="1"/>
        <v>0</v>
      </c>
      <c r="E17" s="40" t="s">
        <v>113</v>
      </c>
      <c r="F17" s="41">
        <v>2572.89</v>
      </c>
      <c r="G17" s="42">
        <f t="shared" si="2"/>
        <v>0</v>
      </c>
      <c r="H17" s="49"/>
      <c r="I17" s="44">
        <v>0</v>
      </c>
      <c r="J17" s="45">
        <v>0</v>
      </c>
      <c r="K17" s="45"/>
      <c r="L17" s="45">
        <v>1</v>
      </c>
      <c r="M17" s="45">
        <v>0</v>
      </c>
      <c r="N17" s="45">
        <v>0</v>
      </c>
      <c r="O17" s="46">
        <v>0</v>
      </c>
      <c r="P17" s="47">
        <v>1</v>
      </c>
    </row>
    <row r="18" spans="1:16" ht="50.25" customHeight="1">
      <c r="A18" s="36">
        <f t="shared" si="0"/>
        <v>12</v>
      </c>
      <c r="B18" s="37" t="s">
        <v>124</v>
      </c>
      <c r="C18" s="38" t="s">
        <v>182</v>
      </c>
      <c r="D18" s="39">
        <f>(I18*$I$6+J18*$J$6+K18*$K$6+L18*$L$6+M18*$M$6+N18*$N$6+O18*$O$6)*P18</f>
        <v>7473.33</v>
      </c>
      <c r="E18" s="40" t="s">
        <v>106</v>
      </c>
      <c r="F18" s="41">
        <v>9.77</v>
      </c>
      <c r="G18" s="42">
        <f t="shared" si="2"/>
        <v>73014.43</v>
      </c>
      <c r="H18" s="50"/>
      <c r="I18" s="51">
        <v>508.5</v>
      </c>
      <c r="J18" s="52">
        <v>0</v>
      </c>
      <c r="K18" s="52">
        <v>26.93</v>
      </c>
      <c r="L18" s="52">
        <f>6094.6-K18</f>
        <v>6067.67</v>
      </c>
      <c r="M18" s="52">
        <v>6937.9</v>
      </c>
      <c r="N18" s="52">
        <v>185.46</v>
      </c>
      <c r="O18" s="53">
        <v>98.23</v>
      </c>
      <c r="P18" s="35">
        <v>1</v>
      </c>
    </row>
    <row r="19" spans="1:16" ht="93.75" customHeight="1">
      <c r="A19" s="36">
        <f t="shared" si="0"/>
        <v>13</v>
      </c>
      <c r="B19" s="37" t="s">
        <v>130</v>
      </c>
      <c r="C19" s="38" t="s">
        <v>226</v>
      </c>
      <c r="D19" s="39">
        <f aca="true" t="shared" si="3" ref="D19:D35">(I19*$I$6+J19*$J$6+K19*$K$6+L19*$L$6+M19*$M$6+N19*$N$6+O19*$O$6)*P19</f>
        <v>1756.1599999999999</v>
      </c>
      <c r="E19" s="40" t="s">
        <v>106</v>
      </c>
      <c r="F19" s="41">
        <v>18.9</v>
      </c>
      <c r="G19" s="42">
        <f t="shared" si="2"/>
        <v>33191.42</v>
      </c>
      <c r="H19" s="50"/>
      <c r="I19" s="51">
        <v>0</v>
      </c>
      <c r="J19" s="52">
        <f>37.9+114.2+90+79.5</f>
        <v>321.6</v>
      </c>
      <c r="K19" s="52">
        <v>578.5</v>
      </c>
      <c r="L19" s="52">
        <f>578.5+1047.5+2342-37.9+712.5-K19</f>
        <v>4064.1000000000004</v>
      </c>
      <c r="M19" s="52">
        <v>856.06</v>
      </c>
      <c r="N19" s="52">
        <v>1437.13</v>
      </c>
      <c r="O19" s="53">
        <v>358.47</v>
      </c>
      <c r="P19" s="35">
        <v>1</v>
      </c>
    </row>
    <row r="20" spans="1:16" ht="45">
      <c r="A20" s="36">
        <f t="shared" si="0"/>
        <v>14</v>
      </c>
      <c r="B20" s="37" t="s">
        <v>130</v>
      </c>
      <c r="C20" s="38" t="s">
        <v>183</v>
      </c>
      <c r="D20" s="39">
        <f t="shared" si="3"/>
        <v>0</v>
      </c>
      <c r="E20" s="40" t="s">
        <v>106</v>
      </c>
      <c r="F20" s="41">
        <v>28.95</v>
      </c>
      <c r="G20" s="42">
        <f t="shared" si="2"/>
        <v>0</v>
      </c>
      <c r="H20" s="54"/>
      <c r="I20" s="51">
        <v>0</v>
      </c>
      <c r="J20" s="52">
        <v>0</v>
      </c>
      <c r="K20" s="52">
        <v>0</v>
      </c>
      <c r="L20" s="52">
        <v>188</v>
      </c>
      <c r="M20" s="52">
        <v>0</v>
      </c>
      <c r="N20" s="52">
        <v>0</v>
      </c>
      <c r="O20" s="53">
        <v>0</v>
      </c>
      <c r="P20" s="35">
        <v>1</v>
      </c>
    </row>
    <row r="21" spans="1:16" ht="75">
      <c r="A21" s="36">
        <f t="shared" si="0"/>
        <v>15</v>
      </c>
      <c r="B21" s="37" t="s">
        <v>130</v>
      </c>
      <c r="C21" s="38" t="s">
        <v>193</v>
      </c>
      <c r="D21" s="39">
        <f t="shared" si="3"/>
        <v>1756.1599999999999</v>
      </c>
      <c r="E21" s="40" t="s">
        <v>106</v>
      </c>
      <c r="F21" s="41">
        <v>8.3</v>
      </c>
      <c r="G21" s="42">
        <f t="shared" si="2"/>
        <v>14576.13</v>
      </c>
      <c r="H21" s="50"/>
      <c r="I21" s="51">
        <v>0</v>
      </c>
      <c r="J21" s="52">
        <f>37.9+114.2+90+79.5</f>
        <v>321.6</v>
      </c>
      <c r="K21" s="52">
        <v>578.5</v>
      </c>
      <c r="L21" s="52">
        <f>578.5+1047.5+2342-37.9-K21</f>
        <v>3351.6</v>
      </c>
      <c r="M21" s="52">
        <v>856.06</v>
      </c>
      <c r="N21" s="52">
        <v>1437.13</v>
      </c>
      <c r="O21" s="53">
        <v>358.47</v>
      </c>
      <c r="P21" s="35">
        <v>1</v>
      </c>
    </row>
    <row r="22" spans="1:16" ht="49.5" customHeight="1">
      <c r="A22" s="36">
        <f t="shared" si="0"/>
        <v>16</v>
      </c>
      <c r="B22" s="37" t="s">
        <v>130</v>
      </c>
      <c r="C22" s="38" t="s">
        <v>194</v>
      </c>
      <c r="D22" s="55">
        <f t="shared" si="3"/>
        <v>0</v>
      </c>
      <c r="E22" s="40" t="s">
        <v>106</v>
      </c>
      <c r="F22" s="56">
        <v>5.5</v>
      </c>
      <c r="G22" s="57">
        <f t="shared" si="2"/>
        <v>0</v>
      </c>
      <c r="H22" s="31"/>
      <c r="I22" s="51">
        <v>0</v>
      </c>
      <c r="J22" s="52">
        <v>0</v>
      </c>
      <c r="K22" s="52">
        <v>0</v>
      </c>
      <c r="L22" s="52">
        <v>188</v>
      </c>
      <c r="M22" s="52">
        <v>0</v>
      </c>
      <c r="N22" s="52">
        <v>0</v>
      </c>
      <c r="O22" s="53">
        <v>0</v>
      </c>
      <c r="P22" s="35">
        <v>1</v>
      </c>
    </row>
    <row r="23" spans="1:16" ht="51" customHeight="1">
      <c r="A23" s="36">
        <f t="shared" si="0"/>
        <v>17</v>
      </c>
      <c r="B23" s="37" t="s">
        <v>130</v>
      </c>
      <c r="C23" s="38" t="s">
        <v>195</v>
      </c>
      <c r="D23" s="55">
        <f t="shared" si="3"/>
        <v>3389.15</v>
      </c>
      <c r="E23" s="40" t="s">
        <v>106</v>
      </c>
      <c r="F23" s="56">
        <v>7.45</v>
      </c>
      <c r="G23" s="57">
        <f t="shared" si="2"/>
        <v>25249.17</v>
      </c>
      <c r="H23" s="31"/>
      <c r="I23" s="51">
        <v>1947</v>
      </c>
      <c r="J23" s="52">
        <v>640.75</v>
      </c>
      <c r="K23" s="52">
        <v>801.4</v>
      </c>
      <c r="L23" s="52">
        <f>1475.6+5726.9+3792.4-640.75-K23</f>
        <v>9552.75</v>
      </c>
      <c r="M23" s="52">
        <v>0</v>
      </c>
      <c r="N23" s="52">
        <v>686.02</v>
      </c>
      <c r="O23" s="53">
        <v>16.72</v>
      </c>
      <c r="P23" s="35">
        <v>1</v>
      </c>
    </row>
    <row r="24" spans="1:16" ht="60">
      <c r="A24" s="36">
        <f t="shared" si="0"/>
        <v>18</v>
      </c>
      <c r="B24" s="37" t="s">
        <v>130</v>
      </c>
      <c r="C24" s="38" t="s">
        <v>196</v>
      </c>
      <c r="D24" s="55">
        <f t="shared" si="3"/>
        <v>3951.05</v>
      </c>
      <c r="E24" s="40" t="s">
        <v>106</v>
      </c>
      <c r="F24" s="56">
        <v>6.5</v>
      </c>
      <c r="G24" s="57">
        <f t="shared" si="2"/>
        <v>25681.83</v>
      </c>
      <c r="H24" s="58"/>
      <c r="I24" s="51">
        <v>155.5</v>
      </c>
      <c r="J24" s="52">
        <v>110.7</v>
      </c>
      <c r="K24" s="52">
        <v>976.05</v>
      </c>
      <c r="L24" s="52">
        <f>1189.9+304.8+427.4-110.7-K24</f>
        <v>835.3499999999999</v>
      </c>
      <c r="M24" s="52">
        <v>2708.8</v>
      </c>
      <c r="N24" s="52">
        <v>325.68</v>
      </c>
      <c r="O24" s="53">
        <v>0</v>
      </c>
      <c r="P24" s="35">
        <v>1</v>
      </c>
    </row>
    <row r="25" spans="1:16" ht="45">
      <c r="A25" s="36">
        <f t="shared" si="0"/>
        <v>19</v>
      </c>
      <c r="B25" s="37" t="s">
        <v>130</v>
      </c>
      <c r="C25" s="38" t="s">
        <v>197</v>
      </c>
      <c r="D25" s="39">
        <f t="shared" si="3"/>
        <v>98.9</v>
      </c>
      <c r="E25" s="40" t="s">
        <v>106</v>
      </c>
      <c r="F25" s="41">
        <v>7.8</v>
      </c>
      <c r="G25" s="42">
        <f t="shared" si="2"/>
        <v>771.42</v>
      </c>
      <c r="H25" s="31"/>
      <c r="I25" s="51">
        <v>87.5</v>
      </c>
      <c r="J25" s="52">
        <v>0</v>
      </c>
      <c r="K25" s="52">
        <v>11.4</v>
      </c>
      <c r="L25" s="52">
        <f>11.4+68.8+352.3-K25</f>
        <v>421.1</v>
      </c>
      <c r="M25" s="52">
        <v>0</v>
      </c>
      <c r="N25" s="52">
        <v>0</v>
      </c>
      <c r="O25" s="53">
        <v>297.11</v>
      </c>
      <c r="P25" s="35">
        <v>1</v>
      </c>
    </row>
    <row r="26" spans="1:16" ht="30">
      <c r="A26" s="36">
        <f t="shared" si="0"/>
        <v>20</v>
      </c>
      <c r="B26" s="37" t="s">
        <v>130</v>
      </c>
      <c r="C26" s="38" t="s">
        <v>154</v>
      </c>
      <c r="D26" s="39">
        <f t="shared" si="3"/>
        <v>4418.1</v>
      </c>
      <c r="E26" s="40" t="s">
        <v>106</v>
      </c>
      <c r="F26" s="41">
        <v>9.47</v>
      </c>
      <c r="G26" s="42">
        <f t="shared" si="2"/>
        <v>41839.41</v>
      </c>
      <c r="H26" s="54"/>
      <c r="I26" s="51">
        <v>4404.5</v>
      </c>
      <c r="J26" s="52">
        <v>0</v>
      </c>
      <c r="K26" s="52">
        <v>13.6</v>
      </c>
      <c r="L26" s="52">
        <f>13.6+166.7+37.3-K26</f>
        <v>203.99999999999997</v>
      </c>
      <c r="M26" s="52">
        <v>0</v>
      </c>
      <c r="N26" s="52">
        <v>0</v>
      </c>
      <c r="O26" s="53">
        <v>0</v>
      </c>
      <c r="P26" s="35">
        <v>1</v>
      </c>
    </row>
    <row r="27" spans="1:16" ht="45">
      <c r="A27" s="36">
        <f t="shared" si="0"/>
        <v>21</v>
      </c>
      <c r="B27" s="37" t="s">
        <v>130</v>
      </c>
      <c r="C27" s="38" t="s">
        <v>222</v>
      </c>
      <c r="D27" s="39">
        <f t="shared" si="3"/>
        <v>563.5</v>
      </c>
      <c r="E27" s="40" t="s">
        <v>106</v>
      </c>
      <c r="F27" s="41">
        <v>7.6</v>
      </c>
      <c r="G27" s="42">
        <f t="shared" si="2"/>
        <v>4282.6</v>
      </c>
      <c r="H27" s="31"/>
      <c r="I27" s="51">
        <v>514</v>
      </c>
      <c r="J27" s="52">
        <v>0</v>
      </c>
      <c r="K27" s="52">
        <v>49.5</v>
      </c>
      <c r="L27" s="52">
        <f>49.5+246.6+328.1-K27</f>
        <v>574.7</v>
      </c>
      <c r="M27" s="52">
        <v>0</v>
      </c>
      <c r="N27" s="52">
        <v>0</v>
      </c>
      <c r="O27" s="53">
        <v>0</v>
      </c>
      <c r="P27" s="35">
        <v>1</v>
      </c>
    </row>
    <row r="28" spans="1:16" ht="45">
      <c r="A28" s="36">
        <f t="shared" si="0"/>
        <v>22</v>
      </c>
      <c r="B28" s="37" t="s">
        <v>130</v>
      </c>
      <c r="C28" s="38" t="s">
        <v>223</v>
      </c>
      <c r="D28" s="39">
        <f t="shared" si="3"/>
        <v>1008.5</v>
      </c>
      <c r="E28" s="40" t="s">
        <v>106</v>
      </c>
      <c r="F28" s="41">
        <v>7.25</v>
      </c>
      <c r="G28" s="42">
        <f t="shared" si="2"/>
        <v>7311.63</v>
      </c>
      <c r="H28" s="31"/>
      <c r="I28" s="51">
        <v>1008.5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3">
        <v>0</v>
      </c>
      <c r="P28" s="35">
        <v>1</v>
      </c>
    </row>
    <row r="29" spans="1:16" ht="36" customHeight="1">
      <c r="A29" s="36">
        <f t="shared" si="0"/>
        <v>23</v>
      </c>
      <c r="B29" s="37" t="s">
        <v>130</v>
      </c>
      <c r="C29" s="38" t="s">
        <v>224</v>
      </c>
      <c r="D29" s="39">
        <f t="shared" si="3"/>
        <v>0</v>
      </c>
      <c r="E29" s="40" t="s">
        <v>106</v>
      </c>
      <c r="F29" s="41">
        <v>8.6</v>
      </c>
      <c r="G29" s="42">
        <f t="shared" si="2"/>
        <v>0</v>
      </c>
      <c r="H29" s="31"/>
      <c r="I29" s="51">
        <v>0</v>
      </c>
      <c r="J29" s="52">
        <v>0</v>
      </c>
      <c r="K29" s="52">
        <v>0</v>
      </c>
      <c r="L29" s="52">
        <v>48.1</v>
      </c>
      <c r="M29" s="52">
        <v>0</v>
      </c>
      <c r="N29" s="52">
        <v>0</v>
      </c>
      <c r="O29" s="53">
        <v>0</v>
      </c>
      <c r="P29" s="35">
        <v>1</v>
      </c>
    </row>
    <row r="30" spans="1:16" ht="45">
      <c r="A30" s="36">
        <f t="shared" si="0"/>
        <v>24</v>
      </c>
      <c r="B30" s="37" t="s">
        <v>130</v>
      </c>
      <c r="C30" s="38" t="s">
        <v>198</v>
      </c>
      <c r="D30" s="39">
        <f t="shared" si="3"/>
        <v>18</v>
      </c>
      <c r="E30" s="40" t="s">
        <v>106</v>
      </c>
      <c r="F30" s="41">
        <v>4.15</v>
      </c>
      <c r="G30" s="42">
        <f t="shared" si="2"/>
        <v>74.7</v>
      </c>
      <c r="H30" s="31"/>
      <c r="I30" s="51">
        <v>18</v>
      </c>
      <c r="J30" s="52">
        <v>0</v>
      </c>
      <c r="K30" s="52">
        <v>0</v>
      </c>
      <c r="L30" s="52">
        <f>145.5+27.6+48.65</f>
        <v>221.75</v>
      </c>
      <c r="M30" s="52">
        <v>0</v>
      </c>
      <c r="N30" s="52">
        <v>0</v>
      </c>
      <c r="O30" s="53">
        <v>0</v>
      </c>
      <c r="P30" s="35">
        <v>1</v>
      </c>
    </row>
    <row r="31" spans="1:16" ht="48.75" customHeight="1">
      <c r="A31" s="36">
        <f t="shared" si="0"/>
        <v>25</v>
      </c>
      <c r="B31" s="37" t="s">
        <v>130</v>
      </c>
      <c r="C31" s="38" t="s">
        <v>199</v>
      </c>
      <c r="D31" s="39">
        <f t="shared" si="3"/>
        <v>0</v>
      </c>
      <c r="E31" s="40" t="s">
        <v>106</v>
      </c>
      <c r="F31" s="41">
        <v>5.9</v>
      </c>
      <c r="G31" s="42">
        <f t="shared" si="2"/>
        <v>0</v>
      </c>
      <c r="H31" s="31"/>
      <c r="I31" s="51">
        <v>0</v>
      </c>
      <c r="J31" s="52">
        <v>0</v>
      </c>
      <c r="K31" s="52">
        <v>0</v>
      </c>
      <c r="L31" s="52">
        <v>115.7</v>
      </c>
      <c r="M31" s="52">
        <v>0</v>
      </c>
      <c r="N31" s="52">
        <v>0</v>
      </c>
      <c r="O31" s="53">
        <v>0</v>
      </c>
      <c r="P31" s="35">
        <v>1</v>
      </c>
    </row>
    <row r="32" spans="1:16" ht="51" customHeight="1">
      <c r="A32" s="36">
        <f t="shared" si="0"/>
        <v>26</v>
      </c>
      <c r="B32" s="37" t="s">
        <v>130</v>
      </c>
      <c r="C32" s="38" t="s">
        <v>225</v>
      </c>
      <c r="D32" s="39">
        <f t="shared" si="3"/>
        <v>1530.45</v>
      </c>
      <c r="E32" s="40" t="s">
        <v>105</v>
      </c>
      <c r="F32" s="41">
        <v>5.6</v>
      </c>
      <c r="G32" s="42">
        <f t="shared" si="2"/>
        <v>8570.52</v>
      </c>
      <c r="H32" s="31"/>
      <c r="I32" s="51">
        <v>1217.5</v>
      </c>
      <c r="J32" s="52">
        <v>114.15</v>
      </c>
      <c r="K32" s="52">
        <v>198.8</v>
      </c>
      <c r="L32" s="52">
        <f>373.2+697.2-114.15-K32</f>
        <v>757.45</v>
      </c>
      <c r="M32" s="52">
        <v>0</v>
      </c>
      <c r="N32" s="52">
        <v>184.28</v>
      </c>
      <c r="O32" s="53">
        <v>0</v>
      </c>
      <c r="P32" s="35">
        <v>1</v>
      </c>
    </row>
    <row r="33" spans="1:16" ht="36" customHeight="1">
      <c r="A33" s="36">
        <f t="shared" si="0"/>
        <v>27</v>
      </c>
      <c r="B33" s="37" t="s">
        <v>130</v>
      </c>
      <c r="C33" s="38" t="s">
        <v>155</v>
      </c>
      <c r="D33" s="39">
        <f t="shared" si="3"/>
        <v>758.99</v>
      </c>
      <c r="E33" s="40" t="s">
        <v>105</v>
      </c>
      <c r="F33" s="41">
        <v>5.6</v>
      </c>
      <c r="G33" s="42">
        <f t="shared" si="2"/>
        <v>4250.34</v>
      </c>
      <c r="H33" s="54"/>
      <c r="I33" s="51">
        <v>0</v>
      </c>
      <c r="J33" s="52">
        <v>105.84</v>
      </c>
      <c r="K33" s="52">
        <v>653.15</v>
      </c>
      <c r="L33" s="52">
        <f>852+617.2+3450-105.84-K33</f>
        <v>4160.21</v>
      </c>
      <c r="M33" s="52">
        <v>0</v>
      </c>
      <c r="N33" s="52">
        <v>191.75</v>
      </c>
      <c r="O33" s="53">
        <v>94.16</v>
      </c>
      <c r="P33" s="35">
        <v>1</v>
      </c>
    </row>
    <row r="34" spans="1:16" ht="49.5" customHeight="1">
      <c r="A34" s="36">
        <f t="shared" si="0"/>
        <v>28</v>
      </c>
      <c r="B34" s="37" t="s">
        <v>130</v>
      </c>
      <c r="C34" s="38" t="s">
        <v>200</v>
      </c>
      <c r="D34" s="39">
        <f t="shared" si="3"/>
        <v>62</v>
      </c>
      <c r="E34" s="40" t="s">
        <v>105</v>
      </c>
      <c r="F34" s="41">
        <v>4.5</v>
      </c>
      <c r="G34" s="42">
        <f t="shared" si="2"/>
        <v>279</v>
      </c>
      <c r="H34" s="31"/>
      <c r="I34" s="51">
        <v>62</v>
      </c>
      <c r="J34" s="52">
        <v>0</v>
      </c>
      <c r="K34" s="52">
        <v>0</v>
      </c>
      <c r="L34" s="52">
        <f>155.1+60.1</f>
        <v>215.2</v>
      </c>
      <c r="M34" s="52">
        <v>0</v>
      </c>
      <c r="N34" s="52">
        <v>0</v>
      </c>
      <c r="O34" s="53">
        <v>0</v>
      </c>
      <c r="P34" s="35">
        <v>1</v>
      </c>
    </row>
    <row r="35" spans="1:16" ht="45.75" thickBot="1">
      <c r="A35" s="36">
        <f t="shared" si="0"/>
        <v>29</v>
      </c>
      <c r="B35" s="37" t="s">
        <v>130</v>
      </c>
      <c r="C35" s="38" t="s">
        <v>201</v>
      </c>
      <c r="D35" s="39">
        <f t="shared" si="3"/>
        <v>3436.0499999999997</v>
      </c>
      <c r="E35" s="40" t="s">
        <v>105</v>
      </c>
      <c r="F35" s="41">
        <v>3</v>
      </c>
      <c r="G35" s="42">
        <f t="shared" si="2"/>
        <v>10308.15</v>
      </c>
      <c r="H35" s="58"/>
      <c r="I35" s="51">
        <v>906.5</v>
      </c>
      <c r="J35" s="52">
        <v>96.05</v>
      </c>
      <c r="K35" s="52">
        <v>361.4</v>
      </c>
      <c r="L35" s="52">
        <f>410.9+2300.9+2440.6-96.05-K35</f>
        <v>4694.95</v>
      </c>
      <c r="M35" s="52">
        <v>2072.1</v>
      </c>
      <c r="N35" s="52">
        <v>177.06</v>
      </c>
      <c r="O35" s="53">
        <v>8.3</v>
      </c>
      <c r="P35" s="35">
        <v>1</v>
      </c>
    </row>
    <row r="36" spans="1:16" ht="19.5" thickBot="1">
      <c r="A36" s="20" t="s">
        <v>107</v>
      </c>
      <c r="B36" s="227" t="s">
        <v>108</v>
      </c>
      <c r="C36" s="227"/>
      <c r="D36" s="227"/>
      <c r="E36" s="211"/>
      <c r="F36" s="211"/>
      <c r="G36" s="228"/>
      <c r="H36" s="59">
        <f>SUM(G7:G35)</f>
        <v>261491.26</v>
      </c>
      <c r="I36" s="229" t="s">
        <v>108</v>
      </c>
      <c r="J36" s="229"/>
      <c r="K36" s="229"/>
      <c r="L36" s="229"/>
      <c r="M36" s="229"/>
      <c r="N36" s="229"/>
      <c r="O36" s="230"/>
      <c r="P36" s="60"/>
    </row>
    <row r="37" spans="1:16" ht="75.75" thickBot="1">
      <c r="A37" s="36">
        <f>A35+1</f>
        <v>30</v>
      </c>
      <c r="B37" s="37" t="s">
        <v>125</v>
      </c>
      <c r="C37" s="61" t="s">
        <v>275</v>
      </c>
      <c r="D37" s="39">
        <f>((I37*$I$6+J37*$J$6+K37*$K$6+L37*$L$6+M37*$M$6+N37*$N$6+O37*$O$6)*0.1)*P37</f>
        <v>681.325</v>
      </c>
      <c r="E37" s="62" t="s">
        <v>109</v>
      </c>
      <c r="F37" s="41">
        <v>73.85</v>
      </c>
      <c r="G37" s="42">
        <f>ROUND(D37*F37,2)</f>
        <v>50315.85</v>
      </c>
      <c r="H37" s="50"/>
      <c r="I37" s="51">
        <f>I83</f>
        <v>1393.3</v>
      </c>
      <c r="J37" s="52">
        <f>J77+J83</f>
        <v>664.4</v>
      </c>
      <c r="K37" s="52">
        <f>K77+K83</f>
        <v>1196.65</v>
      </c>
      <c r="L37" s="52">
        <f>L77+L83</f>
        <v>13994.9</v>
      </c>
      <c r="M37" s="52">
        <f>M72</f>
        <v>3558.9</v>
      </c>
      <c r="N37" s="52">
        <f>N77+N83</f>
        <v>0</v>
      </c>
      <c r="O37" s="53">
        <f>O77+O83</f>
        <v>29.599999999999998</v>
      </c>
      <c r="P37" s="35">
        <v>1</v>
      </c>
    </row>
    <row r="38" spans="1:16" ht="19.5" thickBot="1">
      <c r="A38" s="20" t="s">
        <v>110</v>
      </c>
      <c r="B38" s="211" t="s">
        <v>123</v>
      </c>
      <c r="C38" s="212"/>
      <c r="D38" s="212"/>
      <c r="E38" s="212"/>
      <c r="F38" s="212"/>
      <c r="G38" s="213"/>
      <c r="H38" s="59">
        <f>G37</f>
        <v>50315.85</v>
      </c>
      <c r="I38" s="214" t="s">
        <v>123</v>
      </c>
      <c r="J38" s="215"/>
      <c r="K38" s="215"/>
      <c r="L38" s="215"/>
      <c r="M38" s="215"/>
      <c r="N38" s="215"/>
      <c r="O38" s="216"/>
      <c r="P38" s="60"/>
    </row>
    <row r="39" spans="1:16" ht="30">
      <c r="A39" s="36">
        <f>A37+1</f>
        <v>31</v>
      </c>
      <c r="B39" s="37" t="s">
        <v>133</v>
      </c>
      <c r="C39" s="61" t="s">
        <v>250</v>
      </c>
      <c r="D39" s="39">
        <f aca="true" t="shared" si="4" ref="D39:D54">(I39*$I$6+J39*$J$6+K39*$K$6+L39*$L$6+M39*$M$6+N39*$N$6+O39*$O$6)*P39</f>
        <v>32</v>
      </c>
      <c r="E39" s="62" t="s">
        <v>135</v>
      </c>
      <c r="F39" s="41">
        <v>340</v>
      </c>
      <c r="G39" s="42">
        <f aca="true" t="shared" si="5" ref="G39:G54">ROUND(D39*F39,2)</f>
        <v>10880</v>
      </c>
      <c r="H39" s="31"/>
      <c r="I39" s="63">
        <v>18</v>
      </c>
      <c r="J39" s="64">
        <v>5</v>
      </c>
      <c r="K39" s="64">
        <v>9</v>
      </c>
      <c r="L39" s="64">
        <f>(9+20+19)-K39</f>
        <v>39</v>
      </c>
      <c r="M39" s="64">
        <v>0</v>
      </c>
      <c r="N39" s="64">
        <v>13</v>
      </c>
      <c r="O39" s="65">
        <v>0</v>
      </c>
      <c r="P39" s="35">
        <v>1</v>
      </c>
    </row>
    <row r="40" spans="1:16" ht="45">
      <c r="A40" s="36">
        <f>A39+1</f>
        <v>32</v>
      </c>
      <c r="B40" s="37" t="s">
        <v>133</v>
      </c>
      <c r="C40" s="61" t="s">
        <v>251</v>
      </c>
      <c r="D40" s="39">
        <f t="shared" si="4"/>
        <v>19.840000000000003</v>
      </c>
      <c r="E40" s="62" t="s">
        <v>109</v>
      </c>
      <c r="F40" s="41">
        <v>67.5</v>
      </c>
      <c r="G40" s="42">
        <f t="shared" si="5"/>
        <v>1339.2</v>
      </c>
      <c r="H40" s="31"/>
      <c r="I40" s="66">
        <f>(I39-1)*0.64</f>
        <v>10.88</v>
      </c>
      <c r="J40" s="67">
        <f aca="true" t="shared" si="6" ref="J40:O40">J39*0.64</f>
        <v>3.2</v>
      </c>
      <c r="K40" s="67">
        <f t="shared" si="6"/>
        <v>5.76</v>
      </c>
      <c r="L40" s="64">
        <f t="shared" si="6"/>
        <v>24.96</v>
      </c>
      <c r="M40" s="68">
        <f t="shared" si="6"/>
        <v>0</v>
      </c>
      <c r="N40" s="64">
        <f t="shared" si="6"/>
        <v>8.32</v>
      </c>
      <c r="O40" s="69">
        <f t="shared" si="6"/>
        <v>0</v>
      </c>
      <c r="P40" s="35">
        <v>1</v>
      </c>
    </row>
    <row r="41" spans="1:16" ht="45">
      <c r="A41" s="36">
        <f aca="true" t="shared" si="7" ref="A41:A54">A40+1</f>
        <v>33</v>
      </c>
      <c r="B41" s="37" t="s">
        <v>133</v>
      </c>
      <c r="C41" s="61" t="s">
        <v>134</v>
      </c>
      <c r="D41" s="39">
        <f t="shared" si="4"/>
        <v>62</v>
      </c>
      <c r="E41" s="62" t="s">
        <v>109</v>
      </c>
      <c r="F41" s="41">
        <v>54</v>
      </c>
      <c r="G41" s="42">
        <f t="shared" si="5"/>
        <v>3348</v>
      </c>
      <c r="H41" s="31"/>
      <c r="I41" s="66">
        <f>(I39-1)*2</f>
        <v>34</v>
      </c>
      <c r="J41" s="67">
        <f aca="true" t="shared" si="8" ref="J41:O41">J39*2</f>
        <v>10</v>
      </c>
      <c r="K41" s="67">
        <f t="shared" si="8"/>
        <v>18</v>
      </c>
      <c r="L41" s="67">
        <f t="shared" si="8"/>
        <v>78</v>
      </c>
      <c r="M41" s="67">
        <f t="shared" si="8"/>
        <v>0</v>
      </c>
      <c r="N41" s="64">
        <f t="shared" si="8"/>
        <v>26</v>
      </c>
      <c r="O41" s="69">
        <f t="shared" si="8"/>
        <v>0</v>
      </c>
      <c r="P41" s="35">
        <v>1</v>
      </c>
    </row>
    <row r="42" spans="1:16" ht="45">
      <c r="A42" s="36">
        <f t="shared" si="7"/>
        <v>34</v>
      </c>
      <c r="B42" s="37" t="s">
        <v>133</v>
      </c>
      <c r="C42" s="61" t="s">
        <v>252</v>
      </c>
      <c r="D42" s="39">
        <f t="shared" si="4"/>
        <v>186</v>
      </c>
      <c r="E42" s="62" t="s">
        <v>106</v>
      </c>
      <c r="F42" s="41">
        <v>4.1</v>
      </c>
      <c r="G42" s="42">
        <f t="shared" si="5"/>
        <v>762.6</v>
      </c>
      <c r="H42" s="31"/>
      <c r="I42" s="63">
        <f>(I39-1)*6</f>
        <v>102</v>
      </c>
      <c r="J42" s="68">
        <f aca="true" t="shared" si="9" ref="J42:O42">J39*6</f>
        <v>30</v>
      </c>
      <c r="K42" s="64">
        <f t="shared" si="9"/>
        <v>54</v>
      </c>
      <c r="L42" s="67">
        <f t="shared" si="9"/>
        <v>234</v>
      </c>
      <c r="M42" s="67">
        <f t="shared" si="9"/>
        <v>0</v>
      </c>
      <c r="N42" s="64">
        <f t="shared" si="9"/>
        <v>78</v>
      </c>
      <c r="O42" s="65">
        <f t="shared" si="9"/>
        <v>0</v>
      </c>
      <c r="P42" s="35">
        <v>1</v>
      </c>
    </row>
    <row r="43" spans="1:16" ht="45">
      <c r="A43" s="36">
        <f t="shared" si="7"/>
        <v>35</v>
      </c>
      <c r="B43" s="37" t="s">
        <v>133</v>
      </c>
      <c r="C43" s="61" t="s">
        <v>136</v>
      </c>
      <c r="D43" s="39">
        <f t="shared" si="4"/>
        <v>62</v>
      </c>
      <c r="E43" s="62" t="s">
        <v>109</v>
      </c>
      <c r="F43" s="41">
        <v>47.3</v>
      </c>
      <c r="G43" s="42">
        <f t="shared" si="5"/>
        <v>2932.6</v>
      </c>
      <c r="H43" s="31"/>
      <c r="I43" s="63">
        <f>(I39-1)*2</f>
        <v>34</v>
      </c>
      <c r="J43" s="64">
        <f aca="true" t="shared" si="10" ref="J43:O43">J39*2</f>
        <v>10</v>
      </c>
      <c r="K43" s="64">
        <f t="shared" si="10"/>
        <v>18</v>
      </c>
      <c r="L43" s="64">
        <f t="shared" si="10"/>
        <v>78</v>
      </c>
      <c r="M43" s="64">
        <f t="shared" si="10"/>
        <v>0</v>
      </c>
      <c r="N43" s="64">
        <f t="shared" si="10"/>
        <v>26</v>
      </c>
      <c r="O43" s="65">
        <f t="shared" si="10"/>
        <v>0</v>
      </c>
      <c r="P43" s="35">
        <v>1</v>
      </c>
    </row>
    <row r="44" spans="1:16" ht="26.25" customHeight="1">
      <c r="A44" s="36">
        <f t="shared" si="7"/>
        <v>36</v>
      </c>
      <c r="B44" s="37" t="s">
        <v>133</v>
      </c>
      <c r="C44" s="61" t="s">
        <v>137</v>
      </c>
      <c r="D44" s="39">
        <f t="shared" si="4"/>
        <v>92.07000000000001</v>
      </c>
      <c r="E44" s="62" t="s">
        <v>106</v>
      </c>
      <c r="F44" s="41">
        <v>18.5</v>
      </c>
      <c r="G44" s="42">
        <f t="shared" si="5"/>
        <v>1703.3</v>
      </c>
      <c r="H44" s="31"/>
      <c r="I44" s="63">
        <f>(I39-1)*2.97</f>
        <v>50.49</v>
      </c>
      <c r="J44" s="64">
        <f aca="true" t="shared" si="11" ref="J44:O44">J39*2.97</f>
        <v>14.850000000000001</v>
      </c>
      <c r="K44" s="64">
        <f t="shared" si="11"/>
        <v>26.73</v>
      </c>
      <c r="L44" s="64">
        <f t="shared" si="11"/>
        <v>115.83000000000001</v>
      </c>
      <c r="M44" s="64">
        <f t="shared" si="11"/>
        <v>0</v>
      </c>
      <c r="N44" s="64">
        <f t="shared" si="11"/>
        <v>38.61</v>
      </c>
      <c r="O44" s="65">
        <f t="shared" si="11"/>
        <v>0</v>
      </c>
      <c r="P44" s="35">
        <v>1</v>
      </c>
    </row>
    <row r="45" spans="1:16" ht="60">
      <c r="A45" s="36">
        <f t="shared" si="7"/>
        <v>37</v>
      </c>
      <c r="B45" s="37" t="s">
        <v>133</v>
      </c>
      <c r="C45" s="61" t="s">
        <v>162</v>
      </c>
      <c r="D45" s="39">
        <f t="shared" si="4"/>
        <v>31</v>
      </c>
      <c r="E45" s="62" t="s">
        <v>113</v>
      </c>
      <c r="F45" s="41">
        <v>1960</v>
      </c>
      <c r="G45" s="42">
        <f t="shared" si="5"/>
        <v>60760</v>
      </c>
      <c r="H45" s="70"/>
      <c r="I45" s="63">
        <v>17</v>
      </c>
      <c r="J45" s="64">
        <v>5</v>
      </c>
      <c r="K45" s="64">
        <v>9</v>
      </c>
      <c r="L45" s="64">
        <f>(9+20+19)-K45</f>
        <v>39</v>
      </c>
      <c r="M45" s="64">
        <v>0</v>
      </c>
      <c r="N45" s="64">
        <v>13</v>
      </c>
      <c r="O45" s="65">
        <v>0</v>
      </c>
      <c r="P45" s="35">
        <v>1</v>
      </c>
    </row>
    <row r="46" spans="1:16" ht="45">
      <c r="A46" s="36">
        <f t="shared" si="7"/>
        <v>38</v>
      </c>
      <c r="B46" s="37" t="s">
        <v>133</v>
      </c>
      <c r="C46" s="61" t="s">
        <v>253</v>
      </c>
      <c r="D46" s="55">
        <f t="shared" si="4"/>
        <v>386.57000000000005</v>
      </c>
      <c r="E46" s="40" t="s">
        <v>106</v>
      </c>
      <c r="F46" s="56">
        <v>81</v>
      </c>
      <c r="G46" s="57">
        <f t="shared" si="5"/>
        <v>31312.17</v>
      </c>
      <c r="H46" s="31"/>
      <c r="I46" s="63">
        <f>(I39-1)*12.47</f>
        <v>211.99</v>
      </c>
      <c r="J46" s="64">
        <f aca="true" t="shared" si="12" ref="J46:O46">J39*12.47</f>
        <v>62.35</v>
      </c>
      <c r="K46" s="64">
        <f t="shared" si="12"/>
        <v>112.23</v>
      </c>
      <c r="L46" s="64">
        <f t="shared" si="12"/>
        <v>486.33000000000004</v>
      </c>
      <c r="M46" s="64">
        <f t="shared" si="12"/>
        <v>0</v>
      </c>
      <c r="N46" s="64">
        <f t="shared" si="12"/>
        <v>162.11</v>
      </c>
      <c r="O46" s="65">
        <f t="shared" si="12"/>
        <v>0</v>
      </c>
      <c r="P46" s="35">
        <v>1</v>
      </c>
    </row>
    <row r="47" spans="1:16" ht="36" customHeight="1">
      <c r="A47" s="36">
        <f t="shared" si="7"/>
        <v>39</v>
      </c>
      <c r="B47" s="37" t="s">
        <v>138</v>
      </c>
      <c r="C47" s="61" t="s">
        <v>161</v>
      </c>
      <c r="D47" s="55">
        <f t="shared" si="4"/>
        <v>18</v>
      </c>
      <c r="E47" s="40" t="s">
        <v>135</v>
      </c>
      <c r="F47" s="56">
        <v>340</v>
      </c>
      <c r="G47" s="57">
        <f t="shared" si="5"/>
        <v>6120</v>
      </c>
      <c r="H47" s="31"/>
      <c r="I47" s="63">
        <v>7</v>
      </c>
      <c r="J47" s="64">
        <v>8</v>
      </c>
      <c r="K47" s="64">
        <v>3</v>
      </c>
      <c r="L47" s="64">
        <f>(3+13+11)-K47</f>
        <v>24</v>
      </c>
      <c r="M47" s="64">
        <v>0</v>
      </c>
      <c r="N47" s="64">
        <v>0</v>
      </c>
      <c r="O47" s="65">
        <v>0</v>
      </c>
      <c r="P47" s="35">
        <v>1</v>
      </c>
    </row>
    <row r="48" spans="1:16" ht="36" customHeight="1">
      <c r="A48" s="36">
        <f t="shared" si="7"/>
        <v>40</v>
      </c>
      <c r="B48" s="37" t="s">
        <v>138</v>
      </c>
      <c r="C48" s="61" t="s">
        <v>254</v>
      </c>
      <c r="D48" s="39">
        <f t="shared" si="4"/>
        <v>28</v>
      </c>
      <c r="E48" s="62" t="s">
        <v>135</v>
      </c>
      <c r="F48" s="41">
        <v>162</v>
      </c>
      <c r="G48" s="42">
        <f t="shared" si="5"/>
        <v>4536</v>
      </c>
      <c r="H48" s="31"/>
      <c r="I48" s="71">
        <v>19</v>
      </c>
      <c r="J48" s="72">
        <v>2</v>
      </c>
      <c r="K48" s="72">
        <v>7</v>
      </c>
      <c r="L48" s="72">
        <f>32-J48-I48-K48</f>
        <v>4</v>
      </c>
      <c r="M48" s="72">
        <v>0</v>
      </c>
      <c r="N48" s="72">
        <v>3</v>
      </c>
      <c r="O48" s="73">
        <v>0</v>
      </c>
      <c r="P48" s="35">
        <v>1</v>
      </c>
    </row>
    <row r="49" spans="1:16" ht="36" customHeight="1">
      <c r="A49" s="36">
        <f t="shared" si="7"/>
        <v>41</v>
      </c>
      <c r="B49" s="37" t="s">
        <v>138</v>
      </c>
      <c r="C49" s="61" t="s">
        <v>255</v>
      </c>
      <c r="D49" s="39">
        <f t="shared" si="4"/>
        <v>12</v>
      </c>
      <c r="E49" s="62" t="s">
        <v>135</v>
      </c>
      <c r="F49" s="41">
        <v>162</v>
      </c>
      <c r="G49" s="42">
        <f t="shared" si="5"/>
        <v>1944</v>
      </c>
      <c r="H49" s="31"/>
      <c r="I49" s="71">
        <v>5</v>
      </c>
      <c r="J49" s="72">
        <v>2</v>
      </c>
      <c r="K49" s="72">
        <v>5</v>
      </c>
      <c r="L49" s="72">
        <f>44-J49-I49-K49</f>
        <v>32</v>
      </c>
      <c r="M49" s="72">
        <v>0</v>
      </c>
      <c r="N49" s="72">
        <v>2</v>
      </c>
      <c r="O49" s="73">
        <v>0</v>
      </c>
      <c r="P49" s="35">
        <v>1</v>
      </c>
    </row>
    <row r="50" spans="1:16" ht="36" customHeight="1">
      <c r="A50" s="36">
        <f t="shared" si="7"/>
        <v>42</v>
      </c>
      <c r="B50" s="37" t="s">
        <v>138</v>
      </c>
      <c r="C50" s="61" t="s">
        <v>143</v>
      </c>
      <c r="D50" s="39">
        <f t="shared" si="4"/>
        <v>15</v>
      </c>
      <c r="E50" s="62" t="s">
        <v>135</v>
      </c>
      <c r="F50" s="41">
        <v>135</v>
      </c>
      <c r="G50" s="42">
        <f t="shared" si="5"/>
        <v>2025</v>
      </c>
      <c r="H50" s="31"/>
      <c r="I50" s="71">
        <v>3</v>
      </c>
      <c r="J50" s="72">
        <v>4</v>
      </c>
      <c r="K50" s="72">
        <v>8</v>
      </c>
      <c r="L50" s="72">
        <f>72-J50-I50-K50</f>
        <v>57</v>
      </c>
      <c r="M50" s="72">
        <v>0</v>
      </c>
      <c r="N50" s="72">
        <v>4</v>
      </c>
      <c r="O50" s="73">
        <v>0</v>
      </c>
      <c r="P50" s="35">
        <v>1</v>
      </c>
    </row>
    <row r="51" spans="1:16" ht="36" customHeight="1">
      <c r="A51" s="36">
        <f t="shared" si="7"/>
        <v>43</v>
      </c>
      <c r="B51" s="37" t="s">
        <v>138</v>
      </c>
      <c r="C51" s="61" t="s">
        <v>144</v>
      </c>
      <c r="D51" s="39">
        <f t="shared" si="4"/>
        <v>36</v>
      </c>
      <c r="E51" s="62" t="s">
        <v>135</v>
      </c>
      <c r="F51" s="41">
        <v>135</v>
      </c>
      <c r="G51" s="42">
        <f t="shared" si="5"/>
        <v>4860</v>
      </c>
      <c r="H51" s="31"/>
      <c r="I51" s="71">
        <v>16</v>
      </c>
      <c r="J51" s="72">
        <v>5</v>
      </c>
      <c r="K51" s="72">
        <v>15</v>
      </c>
      <c r="L51" s="72">
        <f>73-J51-I51-K51</f>
        <v>37</v>
      </c>
      <c r="M51" s="72">
        <v>0</v>
      </c>
      <c r="N51" s="72">
        <v>5</v>
      </c>
      <c r="O51" s="73">
        <v>0</v>
      </c>
      <c r="P51" s="35">
        <v>1</v>
      </c>
    </row>
    <row r="52" spans="1:16" ht="36" customHeight="1">
      <c r="A52" s="36">
        <f t="shared" si="7"/>
        <v>44</v>
      </c>
      <c r="B52" s="37" t="s">
        <v>138</v>
      </c>
      <c r="C52" s="61" t="s">
        <v>256</v>
      </c>
      <c r="D52" s="39">
        <f t="shared" si="4"/>
        <v>53</v>
      </c>
      <c r="E52" s="62" t="s">
        <v>135</v>
      </c>
      <c r="F52" s="41">
        <v>190</v>
      </c>
      <c r="G52" s="42">
        <f t="shared" si="5"/>
        <v>10070</v>
      </c>
      <c r="H52" s="31"/>
      <c r="I52" s="71">
        <v>20</v>
      </c>
      <c r="J52" s="72">
        <v>12</v>
      </c>
      <c r="K52" s="72">
        <v>21</v>
      </c>
      <c r="L52" s="72">
        <f>135-12-20-K52</f>
        <v>82</v>
      </c>
      <c r="M52" s="72">
        <v>0</v>
      </c>
      <c r="N52" s="72">
        <v>19</v>
      </c>
      <c r="O52" s="73">
        <v>0</v>
      </c>
      <c r="P52" s="35">
        <v>1</v>
      </c>
    </row>
    <row r="53" spans="1:16" ht="36" customHeight="1">
      <c r="A53" s="36">
        <f t="shared" si="7"/>
        <v>45</v>
      </c>
      <c r="B53" s="37" t="s">
        <v>138</v>
      </c>
      <c r="C53" s="61" t="s">
        <v>145</v>
      </c>
      <c r="D53" s="39">
        <f t="shared" si="4"/>
        <v>16</v>
      </c>
      <c r="E53" s="62" t="s">
        <v>135</v>
      </c>
      <c r="F53" s="41">
        <v>135</v>
      </c>
      <c r="G53" s="42">
        <f t="shared" si="5"/>
        <v>2160</v>
      </c>
      <c r="H53" s="31"/>
      <c r="I53" s="71">
        <v>2</v>
      </c>
      <c r="J53" s="72">
        <v>4</v>
      </c>
      <c r="K53" s="72">
        <v>10</v>
      </c>
      <c r="L53" s="72">
        <f>67-J53-I53-K53</f>
        <v>51</v>
      </c>
      <c r="M53" s="72">
        <v>0</v>
      </c>
      <c r="N53" s="72">
        <v>4</v>
      </c>
      <c r="O53" s="73">
        <v>0</v>
      </c>
      <c r="P53" s="35">
        <v>1</v>
      </c>
    </row>
    <row r="54" spans="1:16" ht="36" customHeight="1" thickBot="1">
      <c r="A54" s="36">
        <f t="shared" si="7"/>
        <v>46</v>
      </c>
      <c r="B54" s="37" t="s">
        <v>138</v>
      </c>
      <c r="C54" s="61" t="s">
        <v>146</v>
      </c>
      <c r="D54" s="39">
        <f t="shared" si="4"/>
        <v>22</v>
      </c>
      <c r="E54" s="62" t="s">
        <v>135</v>
      </c>
      <c r="F54" s="41">
        <v>135</v>
      </c>
      <c r="G54" s="42">
        <f t="shared" si="5"/>
        <v>2970</v>
      </c>
      <c r="H54" s="31"/>
      <c r="I54" s="71">
        <v>11</v>
      </c>
      <c r="J54" s="72">
        <v>6</v>
      </c>
      <c r="K54" s="72">
        <v>5</v>
      </c>
      <c r="L54" s="72">
        <f>31-J54-I54-K54</f>
        <v>9</v>
      </c>
      <c r="M54" s="72">
        <v>0</v>
      </c>
      <c r="N54" s="72">
        <v>6</v>
      </c>
      <c r="O54" s="73">
        <v>0</v>
      </c>
      <c r="P54" s="35">
        <v>1</v>
      </c>
    </row>
    <row r="55" spans="1:16" ht="25.5" customHeight="1" thickBot="1">
      <c r="A55" s="20" t="s">
        <v>126</v>
      </c>
      <c r="B55" s="211" t="s">
        <v>111</v>
      </c>
      <c r="C55" s="212"/>
      <c r="D55" s="212"/>
      <c r="E55" s="212"/>
      <c r="F55" s="212"/>
      <c r="G55" s="213"/>
      <c r="H55" s="59">
        <f>SUM(G39:G54)</f>
        <v>147722.87</v>
      </c>
      <c r="I55" s="214" t="s">
        <v>111</v>
      </c>
      <c r="J55" s="215"/>
      <c r="K55" s="215"/>
      <c r="L55" s="215"/>
      <c r="M55" s="215"/>
      <c r="N55" s="215"/>
      <c r="O55" s="216"/>
      <c r="P55" s="60"/>
    </row>
    <row r="56" spans="1:16" ht="45">
      <c r="A56" s="36">
        <f>A54+1</f>
        <v>47</v>
      </c>
      <c r="B56" s="37" t="s">
        <v>112</v>
      </c>
      <c r="C56" s="38" t="s">
        <v>205</v>
      </c>
      <c r="D56" s="39">
        <f aca="true" t="shared" si="13" ref="D56:D64">(I56*$I$6+J56*$J$6+K56*$K$6+L56*$L$6+M56*$M$6+N56*$N$6+O56*$O$6)*P56</f>
        <v>1131.05</v>
      </c>
      <c r="E56" s="62" t="s">
        <v>106</v>
      </c>
      <c r="F56" s="41">
        <v>19.9</v>
      </c>
      <c r="G56" s="42">
        <f aca="true" t="shared" si="14" ref="G56:G64">ROUND(D56*F56,2)</f>
        <v>22507.9</v>
      </c>
      <c r="H56" s="74"/>
      <c r="I56" s="71">
        <f>I74</f>
        <v>680.4</v>
      </c>
      <c r="J56" s="72">
        <v>0</v>
      </c>
      <c r="K56" s="72">
        <f>K76+K71</f>
        <v>209.75</v>
      </c>
      <c r="L56" s="72">
        <f>L76+L71</f>
        <v>2057.55</v>
      </c>
      <c r="M56" s="72">
        <f>M71</f>
        <v>240.9</v>
      </c>
      <c r="N56" s="72">
        <v>0</v>
      </c>
      <c r="O56" s="73">
        <f>O71</f>
        <v>11</v>
      </c>
      <c r="P56" s="35">
        <v>1</v>
      </c>
    </row>
    <row r="57" spans="1:16" ht="60">
      <c r="A57" s="36">
        <f aca="true" t="shared" si="15" ref="A57:A64">A56+1</f>
        <v>48</v>
      </c>
      <c r="B57" s="37" t="s">
        <v>112</v>
      </c>
      <c r="C57" s="38" t="s">
        <v>276</v>
      </c>
      <c r="D57" s="39">
        <f t="shared" si="13"/>
        <v>2425.8199999999997</v>
      </c>
      <c r="E57" s="62" t="s">
        <v>106</v>
      </c>
      <c r="F57" s="41">
        <v>19.45</v>
      </c>
      <c r="G57" s="42">
        <f t="shared" si="14"/>
        <v>47182.2</v>
      </c>
      <c r="H57" s="50"/>
      <c r="I57" s="71">
        <v>0</v>
      </c>
      <c r="J57" s="72">
        <v>15.6</v>
      </c>
      <c r="K57" s="72">
        <v>177.48</v>
      </c>
      <c r="L57" s="72">
        <f>177.48+363.2+592.5+238.15-K57</f>
        <v>1193.85</v>
      </c>
      <c r="M57" s="72">
        <f>2232.74</f>
        <v>2232.74</v>
      </c>
      <c r="N57" s="72">
        <v>1267.8</v>
      </c>
      <c r="O57" s="73">
        <v>622.35</v>
      </c>
      <c r="P57" s="35">
        <v>1</v>
      </c>
    </row>
    <row r="58" spans="1:16" ht="36.75" customHeight="1">
      <c r="A58" s="36">
        <f t="shared" si="15"/>
        <v>49</v>
      </c>
      <c r="B58" s="37" t="s">
        <v>112</v>
      </c>
      <c r="C58" s="38" t="s">
        <v>160</v>
      </c>
      <c r="D58" s="39">
        <f t="shared" si="13"/>
        <v>7011.4349999999995</v>
      </c>
      <c r="E58" s="62" t="s">
        <v>106</v>
      </c>
      <c r="F58" s="41">
        <v>1.9</v>
      </c>
      <c r="G58" s="42">
        <f t="shared" si="14"/>
        <v>13321.73</v>
      </c>
      <c r="H58" s="74"/>
      <c r="I58" s="51">
        <f>I73+I74+I75</f>
        <v>3795.9500000000003</v>
      </c>
      <c r="J58" s="52">
        <f>J77+J68</f>
        <v>561.35</v>
      </c>
      <c r="K58" s="52">
        <f>K60+K63+K64</f>
        <v>399.78</v>
      </c>
      <c r="L58" s="52">
        <f>L60+L63+L64</f>
        <v>3443.1499999999996</v>
      </c>
      <c r="M58" s="52">
        <f>M60+M63</f>
        <v>2254.355</v>
      </c>
      <c r="N58" s="52">
        <v>0</v>
      </c>
      <c r="O58" s="53">
        <f>O60+O63</f>
        <v>633.35</v>
      </c>
      <c r="P58" s="35">
        <v>1</v>
      </c>
    </row>
    <row r="59" spans="1:16" ht="60">
      <c r="A59" s="36">
        <f t="shared" si="15"/>
        <v>50</v>
      </c>
      <c r="B59" s="37" t="s">
        <v>127</v>
      </c>
      <c r="C59" s="38" t="s">
        <v>202</v>
      </c>
      <c r="D59" s="39">
        <f t="shared" si="13"/>
        <v>4755.35</v>
      </c>
      <c r="E59" s="62" t="s">
        <v>106</v>
      </c>
      <c r="F59" s="41">
        <v>13.9</v>
      </c>
      <c r="G59" s="42">
        <f t="shared" si="14"/>
        <v>66099.37</v>
      </c>
      <c r="H59" s="74"/>
      <c r="I59" s="71">
        <v>68.5</v>
      </c>
      <c r="J59" s="72">
        <f>J79</f>
        <v>117.55</v>
      </c>
      <c r="K59" s="72">
        <f>K72+K79</f>
        <v>1010.4</v>
      </c>
      <c r="L59" s="72">
        <f>L72+L79</f>
        <v>7549.95</v>
      </c>
      <c r="M59" s="72">
        <f>M72</f>
        <v>3558.9</v>
      </c>
      <c r="N59" s="72">
        <v>0</v>
      </c>
      <c r="O59" s="73">
        <v>125.1</v>
      </c>
      <c r="P59" s="35">
        <v>1</v>
      </c>
    </row>
    <row r="60" spans="1:17" ht="45">
      <c r="A60" s="36">
        <f t="shared" si="15"/>
        <v>51</v>
      </c>
      <c r="B60" s="37" t="s">
        <v>127</v>
      </c>
      <c r="C60" s="38" t="s">
        <v>277</v>
      </c>
      <c r="D60" s="55">
        <f t="shared" si="13"/>
        <v>475.245</v>
      </c>
      <c r="E60" s="40" t="s">
        <v>106</v>
      </c>
      <c r="F60" s="56">
        <v>26.6</v>
      </c>
      <c r="G60" s="57">
        <f t="shared" si="14"/>
        <v>12641.52</v>
      </c>
      <c r="H60" s="75"/>
      <c r="I60" s="71">
        <v>0</v>
      </c>
      <c r="J60" s="72">
        <v>0</v>
      </c>
      <c r="K60" s="72">
        <f>K71+K76+12.55</f>
        <v>222.3</v>
      </c>
      <c r="L60" s="72">
        <f>97.75+773.3+912.4+130.95+242.05+211.3-K60</f>
        <v>2145.45</v>
      </c>
      <c r="M60" s="72">
        <f>240.9*1.05</f>
        <v>252.94500000000002</v>
      </c>
      <c r="N60" s="72">
        <v>0</v>
      </c>
      <c r="O60" s="73">
        <v>11</v>
      </c>
      <c r="P60" s="35">
        <v>1</v>
      </c>
      <c r="Q60" s="9">
        <v>342</v>
      </c>
    </row>
    <row r="61" spans="1:17" ht="75">
      <c r="A61" s="36">
        <f t="shared" si="15"/>
        <v>52</v>
      </c>
      <c r="B61" s="37" t="s">
        <v>127</v>
      </c>
      <c r="C61" s="38" t="s">
        <v>204</v>
      </c>
      <c r="D61" s="55">
        <f t="shared" si="13"/>
        <v>680.4</v>
      </c>
      <c r="E61" s="40" t="s">
        <v>106</v>
      </c>
      <c r="F61" s="56">
        <v>26.6</v>
      </c>
      <c r="G61" s="57">
        <f t="shared" si="14"/>
        <v>18098.64</v>
      </c>
      <c r="H61" s="75"/>
      <c r="I61" s="71">
        <f>174.5+505.9</f>
        <v>680.4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3">
        <v>0</v>
      </c>
      <c r="P61" s="35">
        <v>1</v>
      </c>
      <c r="Q61" s="76">
        <f>D59*0.1*2.4455</f>
        <v>1162.9208425000002</v>
      </c>
    </row>
    <row r="62" spans="1:17" ht="60">
      <c r="A62" s="36">
        <f t="shared" si="15"/>
        <v>53</v>
      </c>
      <c r="B62" s="37" t="s">
        <v>127</v>
      </c>
      <c r="C62" s="38" t="s">
        <v>203</v>
      </c>
      <c r="D62" s="55">
        <f t="shared" si="13"/>
        <v>3489.9</v>
      </c>
      <c r="E62" s="40" t="s">
        <v>106</v>
      </c>
      <c r="F62" s="56">
        <v>24.8</v>
      </c>
      <c r="G62" s="57">
        <f t="shared" si="14"/>
        <v>86549.52</v>
      </c>
      <c r="H62" s="75"/>
      <c r="I62" s="71">
        <f>I66</f>
        <v>3489.9</v>
      </c>
      <c r="J62" s="72">
        <v>0</v>
      </c>
      <c r="K62" s="72">
        <v>0</v>
      </c>
      <c r="L62" s="72">
        <v>0</v>
      </c>
      <c r="M62" s="72">
        <v>0</v>
      </c>
      <c r="N62" s="52">
        <v>0</v>
      </c>
      <c r="O62" s="53">
        <v>0</v>
      </c>
      <c r="P62" s="35">
        <v>1</v>
      </c>
      <c r="Q62" s="76">
        <f>D60*0.2*2.4455</f>
        <v>232.44232950000003</v>
      </c>
    </row>
    <row r="63" spans="1:17" ht="60">
      <c r="A63" s="36">
        <f t="shared" si="15"/>
        <v>54</v>
      </c>
      <c r="B63" s="37" t="s">
        <v>127</v>
      </c>
      <c r="C63" s="38" t="s">
        <v>159</v>
      </c>
      <c r="D63" s="39">
        <f t="shared" si="13"/>
        <v>2194.4900000000002</v>
      </c>
      <c r="E63" s="62" t="s">
        <v>106</v>
      </c>
      <c r="F63" s="41">
        <v>44.4</v>
      </c>
      <c r="G63" s="42">
        <f t="shared" si="14"/>
        <v>97435.36</v>
      </c>
      <c r="H63" s="75"/>
      <c r="I63" s="71">
        <v>0</v>
      </c>
      <c r="J63" s="72">
        <f>J68</f>
        <v>15.6</v>
      </c>
      <c r="K63" s="72">
        <v>177.48</v>
      </c>
      <c r="L63" s="72">
        <f>177.48+363.2+592.5-K63</f>
        <v>955.6999999999998</v>
      </c>
      <c r="M63" s="72">
        <v>2001.41</v>
      </c>
      <c r="N63" s="52">
        <v>1267.8</v>
      </c>
      <c r="O63" s="53">
        <v>622.35</v>
      </c>
      <c r="P63" s="35">
        <v>1</v>
      </c>
      <c r="Q63" s="76">
        <f>D61*0.2*2.4455</f>
        <v>332.78364000000005</v>
      </c>
    </row>
    <row r="64" spans="1:17" ht="36" customHeight="1" thickBot="1">
      <c r="A64" s="36">
        <f t="shared" si="15"/>
        <v>55</v>
      </c>
      <c r="B64" s="37" t="s">
        <v>131</v>
      </c>
      <c r="C64" s="38" t="s">
        <v>184</v>
      </c>
      <c r="D64" s="39">
        <f t="shared" si="13"/>
        <v>0</v>
      </c>
      <c r="E64" s="62" t="s">
        <v>106</v>
      </c>
      <c r="F64" s="41">
        <v>119.2</v>
      </c>
      <c r="G64" s="42">
        <f t="shared" si="14"/>
        <v>0</v>
      </c>
      <c r="H64" s="50"/>
      <c r="I64" s="51">
        <v>0</v>
      </c>
      <c r="J64" s="52">
        <v>0</v>
      </c>
      <c r="K64" s="52">
        <v>0</v>
      </c>
      <c r="L64" s="52">
        <v>342</v>
      </c>
      <c r="M64" s="52">
        <v>0</v>
      </c>
      <c r="N64" s="52">
        <v>75.4</v>
      </c>
      <c r="O64" s="53">
        <v>0</v>
      </c>
      <c r="P64" s="35">
        <v>1</v>
      </c>
      <c r="Q64" s="76"/>
    </row>
    <row r="65" spans="1:17" ht="24.75" customHeight="1" thickBot="1">
      <c r="A65" s="20" t="s">
        <v>114</v>
      </c>
      <c r="B65" s="211" t="s">
        <v>115</v>
      </c>
      <c r="C65" s="212"/>
      <c r="D65" s="212"/>
      <c r="E65" s="212"/>
      <c r="F65" s="212"/>
      <c r="G65" s="213"/>
      <c r="H65" s="77">
        <f>SUM(G56:G64)</f>
        <v>363836.24</v>
      </c>
      <c r="I65" s="214" t="s">
        <v>115</v>
      </c>
      <c r="J65" s="215"/>
      <c r="K65" s="215"/>
      <c r="L65" s="215"/>
      <c r="M65" s="215"/>
      <c r="N65" s="215"/>
      <c r="O65" s="216"/>
      <c r="P65" s="60"/>
      <c r="Q65" s="76"/>
    </row>
    <row r="66" spans="1:16" ht="36" customHeight="1">
      <c r="A66" s="78">
        <f>A64+1</f>
        <v>56</v>
      </c>
      <c r="B66" s="79" t="s">
        <v>140</v>
      </c>
      <c r="C66" s="38" t="s">
        <v>209</v>
      </c>
      <c r="D66" s="39">
        <f aca="true" t="shared" si="16" ref="D66:D80">(I66*$I$6+J66*$J$6+K66*$K$6+L66*$L$6+M66*$M$6+N66*$N$6+O66*$O$6)*P66</f>
        <v>3489.9</v>
      </c>
      <c r="E66" s="62" t="s">
        <v>106</v>
      </c>
      <c r="F66" s="41">
        <v>138.55</v>
      </c>
      <c r="G66" s="42">
        <f aca="true" t="shared" si="17" ref="G66:G80">ROUND(D66*F66,2)</f>
        <v>483525.65</v>
      </c>
      <c r="H66" s="75"/>
      <c r="I66" s="51">
        <v>3489.9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3">
        <v>0</v>
      </c>
      <c r="P66" s="35">
        <v>1</v>
      </c>
    </row>
    <row r="67" spans="1:16" ht="36" customHeight="1">
      <c r="A67" s="78">
        <f>A66+1</f>
        <v>57</v>
      </c>
      <c r="B67" s="79" t="s">
        <v>140</v>
      </c>
      <c r="C67" s="38" t="s">
        <v>257</v>
      </c>
      <c r="D67" s="39">
        <f t="shared" si="16"/>
        <v>0</v>
      </c>
      <c r="E67" s="62" t="s">
        <v>106</v>
      </c>
      <c r="F67" s="41">
        <v>128.55</v>
      </c>
      <c r="G67" s="42">
        <f t="shared" si="17"/>
        <v>0</v>
      </c>
      <c r="H67" s="75"/>
      <c r="I67" s="51">
        <v>0</v>
      </c>
      <c r="J67" s="52">
        <v>0</v>
      </c>
      <c r="K67" s="52">
        <v>0</v>
      </c>
      <c r="L67" s="52">
        <f>114+228</f>
        <v>342</v>
      </c>
      <c r="M67" s="52">
        <v>0</v>
      </c>
      <c r="N67" s="52">
        <v>0</v>
      </c>
      <c r="O67" s="53">
        <v>0</v>
      </c>
      <c r="P67" s="35">
        <v>1</v>
      </c>
    </row>
    <row r="68" spans="1:16" ht="48" customHeight="1">
      <c r="A68" s="78">
        <f>A67+1</f>
        <v>58</v>
      </c>
      <c r="B68" s="79" t="s">
        <v>141</v>
      </c>
      <c r="C68" s="38" t="s">
        <v>232</v>
      </c>
      <c r="D68" s="55">
        <f t="shared" si="16"/>
        <v>2027.71</v>
      </c>
      <c r="E68" s="40" t="s">
        <v>106</v>
      </c>
      <c r="F68" s="56">
        <v>55.5</v>
      </c>
      <c r="G68" s="57">
        <f t="shared" si="17"/>
        <v>112537.91</v>
      </c>
      <c r="H68" s="75"/>
      <c r="I68" s="51">
        <v>0</v>
      </c>
      <c r="J68" s="52">
        <v>15.6</v>
      </c>
      <c r="K68" s="52">
        <v>177.48</v>
      </c>
      <c r="L68" s="52">
        <f>177.48+363.2+546.1-K68</f>
        <v>909.3</v>
      </c>
      <c r="M68" s="52">
        <v>1834.63</v>
      </c>
      <c r="N68" s="52">
        <v>1267.8</v>
      </c>
      <c r="O68" s="53">
        <f>326.35+296</f>
        <v>622.35</v>
      </c>
      <c r="P68" s="35">
        <v>1</v>
      </c>
    </row>
    <row r="69" spans="1:16" ht="36" customHeight="1">
      <c r="A69" s="78">
        <f>A68+1</f>
        <v>59</v>
      </c>
      <c r="B69" s="79" t="s">
        <v>141</v>
      </c>
      <c r="C69" s="38" t="s">
        <v>231</v>
      </c>
      <c r="D69" s="55">
        <f t="shared" si="16"/>
        <v>765.4823709677421</v>
      </c>
      <c r="E69" s="40" t="s">
        <v>178</v>
      </c>
      <c r="F69" s="56">
        <v>375.5</v>
      </c>
      <c r="G69" s="57">
        <f t="shared" si="17"/>
        <v>287438.63</v>
      </c>
      <c r="H69" s="80"/>
      <c r="I69" s="51">
        <v>0</v>
      </c>
      <c r="J69" s="52">
        <f>((40.68/0.062)*0.025)*2.4455</f>
        <v>40.11408870967742</v>
      </c>
      <c r="K69" s="52">
        <f>54.48*2.5</f>
        <v>136.2</v>
      </c>
      <c r="L69" s="52">
        <f>((1227.5/0.062)*0.025)*2.4455-K69</f>
        <v>1074.2238911290324</v>
      </c>
      <c r="M69" s="52">
        <f>((597.48/0.062)*0.025)*2.4455</f>
        <v>589.1682822580647</v>
      </c>
      <c r="N69" s="52">
        <v>0</v>
      </c>
      <c r="O69" s="53">
        <v>0</v>
      </c>
      <c r="P69" s="35">
        <v>1</v>
      </c>
    </row>
    <row r="70" spans="1:16" ht="48" customHeight="1">
      <c r="A70" s="78">
        <f aca="true" t="shared" si="18" ref="A70:A80">A69+1</f>
        <v>60</v>
      </c>
      <c r="B70" s="79" t="s">
        <v>139</v>
      </c>
      <c r="C70" s="38" t="s">
        <v>230</v>
      </c>
      <c r="D70" s="55">
        <f t="shared" si="16"/>
        <v>12747.05</v>
      </c>
      <c r="E70" s="40" t="s">
        <v>106</v>
      </c>
      <c r="F70" s="56">
        <v>38.95</v>
      </c>
      <c r="G70" s="57">
        <f t="shared" si="17"/>
        <v>496497.6</v>
      </c>
      <c r="H70" s="75"/>
      <c r="I70" s="51">
        <v>0</v>
      </c>
      <c r="J70" s="52">
        <v>1017</v>
      </c>
      <c r="K70" s="52">
        <f>1650.45+124.35</f>
        <v>1774.8</v>
      </c>
      <c r="L70" s="52">
        <f>2802.85+4431.4+12197.8-1017-K70</f>
        <v>16640.25</v>
      </c>
      <c r="M70" s="52">
        <v>9955.25</v>
      </c>
      <c r="N70" s="52">
        <v>1267.8</v>
      </c>
      <c r="O70" s="53">
        <f>326.35+296</f>
        <v>622.35</v>
      </c>
      <c r="P70" s="35">
        <v>1</v>
      </c>
    </row>
    <row r="71" spans="1:16" ht="49.5" customHeight="1">
      <c r="A71" s="78">
        <f t="shared" si="18"/>
        <v>61</v>
      </c>
      <c r="B71" s="79" t="s">
        <v>139</v>
      </c>
      <c r="C71" s="38" t="s">
        <v>229</v>
      </c>
      <c r="D71" s="55">
        <f t="shared" si="16"/>
        <v>319.65</v>
      </c>
      <c r="E71" s="40" t="s">
        <v>106</v>
      </c>
      <c r="F71" s="56">
        <v>38.95</v>
      </c>
      <c r="G71" s="57">
        <f t="shared" si="17"/>
        <v>12450.37</v>
      </c>
      <c r="H71" s="75"/>
      <c r="I71" s="71">
        <v>0</v>
      </c>
      <c r="J71" s="72">
        <v>0</v>
      </c>
      <c r="K71" s="72">
        <v>78.75</v>
      </c>
      <c r="L71" s="72">
        <f>1683-K71</f>
        <v>1604.25</v>
      </c>
      <c r="M71" s="72">
        <v>240.9</v>
      </c>
      <c r="N71" s="72">
        <v>0</v>
      </c>
      <c r="O71" s="73">
        <v>11</v>
      </c>
      <c r="P71" s="35">
        <v>1</v>
      </c>
    </row>
    <row r="72" spans="1:16" ht="51" customHeight="1">
      <c r="A72" s="78">
        <f t="shared" si="18"/>
        <v>62</v>
      </c>
      <c r="B72" s="79" t="s">
        <v>139</v>
      </c>
      <c r="C72" s="38" t="s">
        <v>228</v>
      </c>
      <c r="D72" s="55">
        <f t="shared" si="16"/>
        <v>3757.9</v>
      </c>
      <c r="E72" s="40" t="s">
        <v>106</v>
      </c>
      <c r="F72" s="56">
        <v>42.95</v>
      </c>
      <c r="G72" s="57">
        <f t="shared" si="17"/>
        <v>161401.81</v>
      </c>
      <c r="H72" s="75"/>
      <c r="I72" s="71">
        <v>0</v>
      </c>
      <c r="J72" s="72">
        <v>0</v>
      </c>
      <c r="K72" s="72">
        <v>199</v>
      </c>
      <c r="L72" s="72">
        <f>7748.95-K72</f>
        <v>7549.95</v>
      </c>
      <c r="M72" s="72">
        <v>3558.9</v>
      </c>
      <c r="N72" s="72">
        <v>0</v>
      </c>
      <c r="O72" s="73">
        <v>125.1</v>
      </c>
      <c r="P72" s="35">
        <v>1</v>
      </c>
    </row>
    <row r="73" spans="1:16" ht="36" customHeight="1">
      <c r="A73" s="78">
        <f>A72+1</f>
        <v>63</v>
      </c>
      <c r="B73" s="79" t="s">
        <v>128</v>
      </c>
      <c r="C73" s="38" t="s">
        <v>191</v>
      </c>
      <c r="D73" s="55">
        <f t="shared" si="16"/>
        <v>3047.05</v>
      </c>
      <c r="E73" s="40" t="s">
        <v>106</v>
      </c>
      <c r="F73" s="56">
        <v>109.5</v>
      </c>
      <c r="G73" s="57">
        <f t="shared" si="17"/>
        <v>333651.98</v>
      </c>
      <c r="H73" s="75"/>
      <c r="I73" s="71">
        <v>3047.05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3">
        <v>0</v>
      </c>
      <c r="P73" s="35">
        <v>1</v>
      </c>
    </row>
    <row r="74" spans="1:16" ht="45">
      <c r="A74" s="78">
        <f t="shared" si="18"/>
        <v>64</v>
      </c>
      <c r="B74" s="79" t="s">
        <v>128</v>
      </c>
      <c r="C74" s="38" t="s">
        <v>192</v>
      </c>
      <c r="D74" s="55">
        <f t="shared" si="16"/>
        <v>680.4</v>
      </c>
      <c r="E74" s="40" t="s">
        <v>106</v>
      </c>
      <c r="F74" s="56">
        <v>109.5</v>
      </c>
      <c r="G74" s="57">
        <f t="shared" si="17"/>
        <v>74503.8</v>
      </c>
      <c r="H74" s="75"/>
      <c r="I74" s="71">
        <f>174.5+505.9</f>
        <v>680.4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3">
        <v>0</v>
      </c>
      <c r="P74" s="35">
        <v>1</v>
      </c>
    </row>
    <row r="75" spans="1:16" ht="45">
      <c r="A75" s="78">
        <f t="shared" si="18"/>
        <v>65</v>
      </c>
      <c r="B75" s="79" t="s">
        <v>128</v>
      </c>
      <c r="C75" s="38" t="s">
        <v>190</v>
      </c>
      <c r="D75" s="39">
        <f t="shared" si="16"/>
        <v>68.5</v>
      </c>
      <c r="E75" s="62" t="s">
        <v>106</v>
      </c>
      <c r="F75" s="41">
        <v>109.5</v>
      </c>
      <c r="G75" s="42">
        <f t="shared" si="17"/>
        <v>7500.75</v>
      </c>
      <c r="H75" s="75"/>
      <c r="I75" s="71">
        <v>68.5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3">
        <v>0</v>
      </c>
      <c r="P75" s="35">
        <v>1</v>
      </c>
    </row>
    <row r="76" spans="1:16" ht="45">
      <c r="A76" s="78">
        <f t="shared" si="18"/>
        <v>66</v>
      </c>
      <c r="B76" s="79" t="s">
        <v>128</v>
      </c>
      <c r="C76" s="38" t="s">
        <v>258</v>
      </c>
      <c r="D76" s="39">
        <f t="shared" si="16"/>
        <v>131</v>
      </c>
      <c r="E76" s="62" t="s">
        <v>106</v>
      </c>
      <c r="F76" s="41">
        <v>93.85</v>
      </c>
      <c r="G76" s="42">
        <f t="shared" si="17"/>
        <v>12294.35</v>
      </c>
      <c r="H76" s="75"/>
      <c r="I76" s="71">
        <v>0</v>
      </c>
      <c r="J76" s="72">
        <v>0</v>
      </c>
      <c r="K76" s="72">
        <v>131</v>
      </c>
      <c r="L76" s="72">
        <f>584.3-K76</f>
        <v>453.29999999999995</v>
      </c>
      <c r="M76" s="72">
        <v>0</v>
      </c>
      <c r="N76" s="72">
        <v>0</v>
      </c>
      <c r="O76" s="73">
        <v>0</v>
      </c>
      <c r="P76" s="35">
        <v>1</v>
      </c>
    </row>
    <row r="77" spans="1:16" ht="36" customHeight="1">
      <c r="A77" s="78">
        <f t="shared" si="18"/>
        <v>67</v>
      </c>
      <c r="B77" s="79" t="s">
        <v>128</v>
      </c>
      <c r="C77" s="38" t="s">
        <v>259</v>
      </c>
      <c r="D77" s="39">
        <f t="shared" si="16"/>
        <v>1360.45</v>
      </c>
      <c r="E77" s="62" t="s">
        <v>106</v>
      </c>
      <c r="F77" s="41">
        <v>93.85</v>
      </c>
      <c r="G77" s="42">
        <f t="shared" si="17"/>
        <v>127678.23</v>
      </c>
      <c r="H77" s="75"/>
      <c r="I77" s="71">
        <v>0</v>
      </c>
      <c r="J77" s="72">
        <v>545.75</v>
      </c>
      <c r="K77" s="72">
        <v>814.7</v>
      </c>
      <c r="L77" s="72">
        <f>5873.55+394.75-K77</f>
        <v>5453.6</v>
      </c>
      <c r="M77" s="72">
        <v>0</v>
      </c>
      <c r="N77" s="72">
        <v>0</v>
      </c>
      <c r="O77" s="73">
        <v>10.7</v>
      </c>
      <c r="P77" s="35">
        <v>1</v>
      </c>
    </row>
    <row r="78" spans="1:16" ht="36" customHeight="1">
      <c r="A78" s="78">
        <f t="shared" si="18"/>
        <v>68</v>
      </c>
      <c r="B78" s="79" t="s">
        <v>128</v>
      </c>
      <c r="C78" s="38" t="s">
        <v>260</v>
      </c>
      <c r="D78" s="39">
        <f t="shared" si="16"/>
        <v>27.7</v>
      </c>
      <c r="E78" s="62" t="s">
        <v>106</v>
      </c>
      <c r="F78" s="41">
        <v>93.85</v>
      </c>
      <c r="G78" s="42">
        <f t="shared" si="17"/>
        <v>2599.65</v>
      </c>
      <c r="H78" s="75"/>
      <c r="I78" s="71">
        <v>0</v>
      </c>
      <c r="J78" s="72">
        <v>0</v>
      </c>
      <c r="K78" s="72">
        <v>27.7</v>
      </c>
      <c r="L78" s="72">
        <f>654.35-K78</f>
        <v>626.65</v>
      </c>
      <c r="M78" s="72">
        <v>0</v>
      </c>
      <c r="N78" s="72">
        <v>0</v>
      </c>
      <c r="O78" s="73">
        <v>0</v>
      </c>
      <c r="P78" s="35">
        <v>1</v>
      </c>
    </row>
    <row r="79" spans="1:16" ht="48" customHeight="1">
      <c r="A79" s="78">
        <f t="shared" si="18"/>
        <v>69</v>
      </c>
      <c r="B79" s="79" t="s">
        <v>128</v>
      </c>
      <c r="C79" s="38" t="s">
        <v>261</v>
      </c>
      <c r="D79" s="39">
        <f t="shared" si="16"/>
        <v>928.9499999999999</v>
      </c>
      <c r="E79" s="62" t="s">
        <v>106</v>
      </c>
      <c r="F79" s="41">
        <v>93.85</v>
      </c>
      <c r="G79" s="42">
        <f t="shared" si="17"/>
        <v>87181.96</v>
      </c>
      <c r="H79" s="75"/>
      <c r="I79" s="71">
        <v>0</v>
      </c>
      <c r="J79" s="72">
        <v>117.55</v>
      </c>
      <c r="K79" s="72">
        <v>811.4</v>
      </c>
      <c r="L79" s="72">
        <v>0</v>
      </c>
      <c r="M79" s="72">
        <v>0</v>
      </c>
      <c r="N79" s="72">
        <v>0</v>
      </c>
      <c r="O79" s="73">
        <v>0</v>
      </c>
      <c r="P79" s="35">
        <v>1</v>
      </c>
    </row>
    <row r="80" spans="1:16" ht="36" customHeight="1" thickBot="1">
      <c r="A80" s="78">
        <f t="shared" si="18"/>
        <v>70</v>
      </c>
      <c r="B80" s="79" t="s">
        <v>157</v>
      </c>
      <c r="C80" s="38" t="s">
        <v>158</v>
      </c>
      <c r="D80" s="39">
        <f t="shared" si="16"/>
        <v>3072.2999999999997</v>
      </c>
      <c r="E80" s="62" t="s">
        <v>106</v>
      </c>
      <c r="F80" s="41">
        <v>28.2</v>
      </c>
      <c r="G80" s="42">
        <f t="shared" si="17"/>
        <v>86638.86</v>
      </c>
      <c r="H80" s="74"/>
      <c r="I80" s="81">
        <v>0</v>
      </c>
      <c r="J80" s="82">
        <v>31.5</v>
      </c>
      <c r="K80" s="83">
        <v>397.95</v>
      </c>
      <c r="L80" s="82">
        <f>397.95+33.1+97.9-K80</f>
        <v>131.00000000000006</v>
      </c>
      <c r="M80" s="82">
        <v>2642.85</v>
      </c>
      <c r="N80" s="83">
        <v>0</v>
      </c>
      <c r="O80" s="84">
        <v>19.7</v>
      </c>
      <c r="P80" s="35">
        <v>1</v>
      </c>
    </row>
    <row r="81" spans="1:16" ht="22.5" customHeight="1" thickBot="1">
      <c r="A81" s="20" t="s">
        <v>116</v>
      </c>
      <c r="B81" s="211" t="s">
        <v>119</v>
      </c>
      <c r="C81" s="212"/>
      <c r="D81" s="212"/>
      <c r="E81" s="212"/>
      <c r="F81" s="212"/>
      <c r="G81" s="213"/>
      <c r="H81" s="59">
        <f>SUM(G66:G80)</f>
        <v>2285901.5500000003</v>
      </c>
      <c r="I81" s="214" t="s">
        <v>119</v>
      </c>
      <c r="J81" s="215"/>
      <c r="K81" s="215"/>
      <c r="L81" s="215"/>
      <c r="M81" s="215"/>
      <c r="N81" s="215"/>
      <c r="O81" s="216"/>
      <c r="P81" s="60"/>
    </row>
    <row r="82" spans="1:16" ht="36" customHeight="1">
      <c r="A82" s="36">
        <f>A80+1</f>
        <v>71</v>
      </c>
      <c r="B82" s="79" t="s">
        <v>120</v>
      </c>
      <c r="C82" s="85" t="s">
        <v>219</v>
      </c>
      <c r="D82" s="39">
        <f>(I82*$I$6+J82*$J$6+K82*$K$6+L82*$L$6+M82*$M$6+N82*$N$6+O82*$O$6)*P82</f>
        <v>4982.4</v>
      </c>
      <c r="E82" s="62" t="s">
        <v>106</v>
      </c>
      <c r="F82" s="41">
        <v>17.55</v>
      </c>
      <c r="G82" s="42">
        <f>ROUND(D82*F82,2)</f>
        <v>87441.12</v>
      </c>
      <c r="H82" s="86"/>
      <c r="I82" s="71">
        <v>0</v>
      </c>
      <c r="J82" s="72">
        <v>0</v>
      </c>
      <c r="K82" s="72">
        <v>0</v>
      </c>
      <c r="L82" s="72">
        <v>0</v>
      </c>
      <c r="M82" s="72">
        <v>4982.4</v>
      </c>
      <c r="N82" s="72">
        <v>0</v>
      </c>
      <c r="O82" s="73">
        <v>112.25</v>
      </c>
      <c r="P82" s="35">
        <v>1</v>
      </c>
    </row>
    <row r="83" spans="1:16" ht="36" customHeight="1" thickBot="1">
      <c r="A83" s="36">
        <f>A82+1</f>
        <v>72</v>
      </c>
      <c r="B83" s="79" t="s">
        <v>122</v>
      </c>
      <c r="C83" s="85" t="s">
        <v>156</v>
      </c>
      <c r="D83" s="39">
        <f>(I83*$I$6+J83*$J$6+K83*$K$6+L83*$L$6+M83*$M$6+N83*$N$6+O83*$O$6)*P83</f>
        <v>1893.9</v>
      </c>
      <c r="E83" s="62" t="s">
        <v>106</v>
      </c>
      <c r="F83" s="41">
        <v>5.4</v>
      </c>
      <c r="G83" s="42">
        <f>ROUND(D83*F83,2)</f>
        <v>10227.06</v>
      </c>
      <c r="H83" s="75"/>
      <c r="I83" s="71">
        <v>1393.3</v>
      </c>
      <c r="J83" s="72">
        <v>118.65</v>
      </c>
      <c r="K83" s="72">
        <v>381.95</v>
      </c>
      <c r="L83" s="72">
        <f>8923.25-K83</f>
        <v>8541.3</v>
      </c>
      <c r="M83" s="72">
        <v>0</v>
      </c>
      <c r="N83" s="72">
        <v>0</v>
      </c>
      <c r="O83" s="73">
        <v>18.9</v>
      </c>
      <c r="P83" s="35">
        <v>1</v>
      </c>
    </row>
    <row r="84" spans="1:16" ht="22.5" customHeight="1" thickBot="1">
      <c r="A84" s="20" t="s">
        <v>116</v>
      </c>
      <c r="B84" s="211" t="s">
        <v>163</v>
      </c>
      <c r="C84" s="212"/>
      <c r="D84" s="212"/>
      <c r="E84" s="212"/>
      <c r="F84" s="212"/>
      <c r="G84" s="213"/>
      <c r="H84" s="59">
        <f>SUM(G82:G83)</f>
        <v>97668.18</v>
      </c>
      <c r="I84" s="214" t="s">
        <v>163</v>
      </c>
      <c r="J84" s="215"/>
      <c r="K84" s="215"/>
      <c r="L84" s="215"/>
      <c r="M84" s="215"/>
      <c r="N84" s="215"/>
      <c r="O84" s="216"/>
      <c r="P84" s="60"/>
    </row>
    <row r="85" spans="1:16" ht="31.5" customHeight="1">
      <c r="A85" s="36">
        <f>A83+1</f>
        <v>73</v>
      </c>
      <c r="B85" s="79" t="s">
        <v>164</v>
      </c>
      <c r="C85" s="85" t="s">
        <v>218</v>
      </c>
      <c r="D85" s="39">
        <f aca="true" t="shared" si="19" ref="D85:D99">(I85*$I$6+J85*$J$6+K85*$K$6+L85*$L$6+M85*$M$6+N85*$N$6+O85*$O$6)*P85</f>
        <v>4.8</v>
      </c>
      <c r="E85" s="62" t="s">
        <v>106</v>
      </c>
      <c r="F85" s="41">
        <v>24.3</v>
      </c>
      <c r="G85" s="42">
        <f aca="true" t="shared" si="20" ref="G85:G99">ROUND(D85*F85,2)</f>
        <v>116.64</v>
      </c>
      <c r="H85" s="86"/>
      <c r="I85" s="71">
        <v>4.8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3">
        <v>0</v>
      </c>
      <c r="P85" s="35">
        <v>1</v>
      </c>
    </row>
    <row r="86" spans="1:16" ht="35.25" customHeight="1">
      <c r="A86" s="36">
        <f>A85+1</f>
        <v>74</v>
      </c>
      <c r="B86" s="79" t="s">
        <v>164</v>
      </c>
      <c r="C86" s="85" t="s">
        <v>213</v>
      </c>
      <c r="D86" s="39">
        <f t="shared" si="19"/>
        <v>78.5</v>
      </c>
      <c r="E86" s="62" t="s">
        <v>106</v>
      </c>
      <c r="F86" s="41">
        <v>24.3</v>
      </c>
      <c r="G86" s="42">
        <f t="shared" si="20"/>
        <v>1907.55</v>
      </c>
      <c r="H86" s="86"/>
      <c r="I86" s="71">
        <v>78.5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3">
        <v>0</v>
      </c>
      <c r="P86" s="35">
        <v>1</v>
      </c>
    </row>
    <row r="87" spans="1:16" ht="35.25" customHeight="1">
      <c r="A87" s="36">
        <f aca="true" t="shared" si="21" ref="A87:A98">A86+1</f>
        <v>75</v>
      </c>
      <c r="B87" s="79" t="s">
        <v>164</v>
      </c>
      <c r="C87" s="85" t="s">
        <v>214</v>
      </c>
      <c r="D87" s="39">
        <f t="shared" si="19"/>
        <v>0.662</v>
      </c>
      <c r="E87" s="62" t="s">
        <v>106</v>
      </c>
      <c r="F87" s="41">
        <v>24.3</v>
      </c>
      <c r="G87" s="42">
        <f t="shared" si="20"/>
        <v>16.09</v>
      </c>
      <c r="H87" s="86"/>
      <c r="I87" s="71">
        <v>0.662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3">
        <v>0</v>
      </c>
      <c r="P87" s="35">
        <v>1</v>
      </c>
    </row>
    <row r="88" spans="1:16" ht="35.25" customHeight="1">
      <c r="A88" s="36">
        <f t="shared" si="21"/>
        <v>76</v>
      </c>
      <c r="B88" s="79" t="s">
        <v>164</v>
      </c>
      <c r="C88" s="85" t="s">
        <v>215</v>
      </c>
      <c r="D88" s="39">
        <f t="shared" si="19"/>
        <v>115.30000000000001</v>
      </c>
      <c r="E88" s="62" t="s">
        <v>106</v>
      </c>
      <c r="F88" s="41">
        <v>58.6</v>
      </c>
      <c r="G88" s="42">
        <f t="shared" si="20"/>
        <v>6756.58</v>
      </c>
      <c r="H88" s="86"/>
      <c r="I88" s="71">
        <v>0</v>
      </c>
      <c r="J88" s="72">
        <v>33.3</v>
      </c>
      <c r="K88" s="72">
        <v>7.6</v>
      </c>
      <c r="L88" s="72">
        <f>10+137.8+366.2-K88</f>
        <v>506.4</v>
      </c>
      <c r="M88" s="72">
        <v>74.4</v>
      </c>
      <c r="N88" s="72">
        <v>11.3</v>
      </c>
      <c r="O88" s="73">
        <v>11.72</v>
      </c>
      <c r="P88" s="35">
        <v>1</v>
      </c>
    </row>
    <row r="89" spans="1:16" ht="35.25" customHeight="1">
      <c r="A89" s="36">
        <f t="shared" si="21"/>
        <v>77</v>
      </c>
      <c r="B89" s="79" t="s">
        <v>164</v>
      </c>
      <c r="C89" s="85" t="s">
        <v>216</v>
      </c>
      <c r="D89" s="39">
        <f t="shared" si="19"/>
        <v>20.2</v>
      </c>
      <c r="E89" s="62" t="s">
        <v>106</v>
      </c>
      <c r="F89" s="41">
        <v>58.6</v>
      </c>
      <c r="G89" s="42">
        <f t="shared" si="20"/>
        <v>1183.72</v>
      </c>
      <c r="H89" s="86"/>
      <c r="I89" s="71">
        <v>0</v>
      </c>
      <c r="J89" s="72">
        <v>18</v>
      </c>
      <c r="K89" s="72">
        <v>2.2</v>
      </c>
      <c r="L89" s="72">
        <f>2.2+10.5+36.6-K89</f>
        <v>47.099999999999994</v>
      </c>
      <c r="M89" s="72">
        <v>0</v>
      </c>
      <c r="N89" s="72">
        <v>17.1</v>
      </c>
      <c r="O89" s="73">
        <v>3.06</v>
      </c>
      <c r="P89" s="35">
        <v>1</v>
      </c>
    </row>
    <row r="90" spans="1:16" ht="35.25" customHeight="1">
      <c r="A90" s="36">
        <f t="shared" si="21"/>
        <v>78</v>
      </c>
      <c r="B90" s="79" t="s">
        <v>164</v>
      </c>
      <c r="C90" s="85" t="s">
        <v>217</v>
      </c>
      <c r="D90" s="39">
        <f t="shared" si="19"/>
        <v>172.75</v>
      </c>
      <c r="E90" s="62" t="s">
        <v>106</v>
      </c>
      <c r="F90" s="41">
        <v>58.6</v>
      </c>
      <c r="G90" s="42">
        <f t="shared" si="20"/>
        <v>10123.15</v>
      </c>
      <c r="H90" s="86"/>
      <c r="I90" s="71">
        <v>0</v>
      </c>
      <c r="J90" s="72">
        <v>94.45</v>
      </c>
      <c r="K90" s="72">
        <v>65.8</v>
      </c>
      <c r="L90" s="72">
        <f>65.8+165+354.1-K90</f>
        <v>519.1000000000001</v>
      </c>
      <c r="M90" s="72">
        <v>12.5</v>
      </c>
      <c r="N90" s="72">
        <v>55.39</v>
      </c>
      <c r="O90" s="73">
        <v>0</v>
      </c>
      <c r="P90" s="35">
        <v>1</v>
      </c>
    </row>
    <row r="91" spans="1:16" ht="35.25" customHeight="1">
      <c r="A91" s="36">
        <f t="shared" si="21"/>
        <v>79</v>
      </c>
      <c r="B91" s="79" t="s">
        <v>164</v>
      </c>
      <c r="C91" s="85" t="s">
        <v>176</v>
      </c>
      <c r="D91" s="39">
        <f t="shared" si="19"/>
        <v>39.6</v>
      </c>
      <c r="E91" s="62" t="s">
        <v>106</v>
      </c>
      <c r="F91" s="41">
        <v>69.2</v>
      </c>
      <c r="G91" s="42">
        <f t="shared" si="20"/>
        <v>2740.32</v>
      </c>
      <c r="H91" s="86"/>
      <c r="I91" s="71">
        <v>0</v>
      </c>
      <c r="J91" s="72">
        <v>21</v>
      </c>
      <c r="K91" s="72">
        <v>18.6</v>
      </c>
      <c r="L91" s="72">
        <f>18.6+44.5+75-K91</f>
        <v>119.5</v>
      </c>
      <c r="M91" s="72">
        <v>0</v>
      </c>
      <c r="N91" s="72">
        <v>11.25</v>
      </c>
      <c r="O91" s="73">
        <v>0</v>
      </c>
      <c r="P91" s="35">
        <v>1</v>
      </c>
    </row>
    <row r="92" spans="1:16" ht="35.25" customHeight="1">
      <c r="A92" s="36">
        <f t="shared" si="21"/>
        <v>80</v>
      </c>
      <c r="B92" s="79" t="s">
        <v>165</v>
      </c>
      <c r="C92" s="85" t="s">
        <v>166</v>
      </c>
      <c r="D92" s="39">
        <f t="shared" si="19"/>
        <v>59</v>
      </c>
      <c r="E92" s="62" t="s">
        <v>113</v>
      </c>
      <c r="F92" s="41">
        <v>243</v>
      </c>
      <c r="G92" s="42">
        <f t="shared" si="20"/>
        <v>14337</v>
      </c>
      <c r="H92" s="75"/>
      <c r="I92" s="71">
        <v>30</v>
      </c>
      <c r="J92" s="72">
        <v>9</v>
      </c>
      <c r="K92" s="72">
        <v>18</v>
      </c>
      <c r="L92" s="72">
        <f>18+50+82-K92</f>
        <v>132</v>
      </c>
      <c r="M92" s="72">
        <v>2</v>
      </c>
      <c r="N92" s="72">
        <v>16</v>
      </c>
      <c r="O92" s="73">
        <v>1</v>
      </c>
      <c r="P92" s="35">
        <v>1</v>
      </c>
    </row>
    <row r="93" spans="1:16" ht="35.25" customHeight="1">
      <c r="A93" s="36">
        <f t="shared" si="21"/>
        <v>81</v>
      </c>
      <c r="B93" s="79" t="s">
        <v>165</v>
      </c>
      <c r="C93" s="85" t="s">
        <v>167</v>
      </c>
      <c r="D93" s="39">
        <f t="shared" si="19"/>
        <v>42</v>
      </c>
      <c r="E93" s="62" t="s">
        <v>113</v>
      </c>
      <c r="F93" s="41">
        <v>162</v>
      </c>
      <c r="G93" s="42">
        <f t="shared" si="20"/>
        <v>6804</v>
      </c>
      <c r="H93" s="75"/>
      <c r="I93" s="71">
        <v>21</v>
      </c>
      <c r="J93" s="72">
        <v>7</v>
      </c>
      <c r="K93" s="72">
        <v>12</v>
      </c>
      <c r="L93" s="72">
        <f>12+34+66-K93</f>
        <v>100</v>
      </c>
      <c r="M93" s="72">
        <v>2</v>
      </c>
      <c r="N93" s="72">
        <v>11</v>
      </c>
      <c r="O93" s="73">
        <v>1</v>
      </c>
      <c r="P93" s="35">
        <v>1</v>
      </c>
    </row>
    <row r="94" spans="1:16" ht="35.25" customHeight="1">
      <c r="A94" s="36">
        <f t="shared" si="21"/>
        <v>82</v>
      </c>
      <c r="B94" s="79" t="s">
        <v>165</v>
      </c>
      <c r="C94" s="85" t="s">
        <v>172</v>
      </c>
      <c r="D94" s="39">
        <f t="shared" si="19"/>
        <v>38</v>
      </c>
      <c r="E94" s="62" t="s">
        <v>113</v>
      </c>
      <c r="F94" s="41">
        <v>13.5</v>
      </c>
      <c r="G94" s="42">
        <f t="shared" si="20"/>
        <v>513</v>
      </c>
      <c r="H94" s="75"/>
      <c r="I94" s="71">
        <v>14</v>
      </c>
      <c r="J94" s="72">
        <v>3</v>
      </c>
      <c r="K94" s="72">
        <v>6</v>
      </c>
      <c r="L94" s="72">
        <f>6+24+12-K94</f>
        <v>36</v>
      </c>
      <c r="M94" s="72">
        <v>15</v>
      </c>
      <c r="N94" s="72">
        <v>6</v>
      </c>
      <c r="O94" s="73">
        <v>0</v>
      </c>
      <c r="P94" s="35">
        <v>1</v>
      </c>
    </row>
    <row r="95" spans="1:16" ht="35.25" customHeight="1">
      <c r="A95" s="36">
        <f t="shared" si="21"/>
        <v>83</v>
      </c>
      <c r="B95" s="79" t="s">
        <v>165</v>
      </c>
      <c r="C95" s="85" t="s">
        <v>177</v>
      </c>
      <c r="D95" s="39">
        <f t="shared" si="19"/>
        <v>30</v>
      </c>
      <c r="E95" s="62" t="s">
        <v>113</v>
      </c>
      <c r="F95" s="41">
        <v>13.5</v>
      </c>
      <c r="G95" s="42">
        <f t="shared" si="20"/>
        <v>405</v>
      </c>
      <c r="H95" s="75"/>
      <c r="I95" s="71">
        <v>11</v>
      </c>
      <c r="J95" s="72">
        <v>2</v>
      </c>
      <c r="K95" s="72">
        <v>5</v>
      </c>
      <c r="L95" s="72">
        <f>5+20+12-K95</f>
        <v>32</v>
      </c>
      <c r="M95" s="72">
        <v>12</v>
      </c>
      <c r="N95" s="72">
        <v>5</v>
      </c>
      <c r="O95" s="73">
        <v>0</v>
      </c>
      <c r="P95" s="35">
        <v>1</v>
      </c>
    </row>
    <row r="96" spans="1:16" ht="35.25" customHeight="1">
      <c r="A96" s="36">
        <f t="shared" si="21"/>
        <v>84</v>
      </c>
      <c r="B96" s="79" t="s">
        <v>165</v>
      </c>
      <c r="C96" s="85" t="s">
        <v>173</v>
      </c>
      <c r="D96" s="55">
        <f t="shared" si="19"/>
        <v>27</v>
      </c>
      <c r="E96" s="40" t="s">
        <v>113</v>
      </c>
      <c r="F96" s="56">
        <v>47.25</v>
      </c>
      <c r="G96" s="57">
        <f t="shared" si="20"/>
        <v>1275.75</v>
      </c>
      <c r="H96" s="75"/>
      <c r="I96" s="71">
        <v>14</v>
      </c>
      <c r="J96" s="72">
        <v>2</v>
      </c>
      <c r="K96" s="72">
        <v>5</v>
      </c>
      <c r="L96" s="72">
        <f>5+22+6-K96</f>
        <v>28</v>
      </c>
      <c r="M96" s="72">
        <v>6</v>
      </c>
      <c r="N96" s="72">
        <v>0</v>
      </c>
      <c r="O96" s="73">
        <v>0</v>
      </c>
      <c r="P96" s="35">
        <v>1</v>
      </c>
    </row>
    <row r="97" spans="1:16" ht="35.25" customHeight="1">
      <c r="A97" s="36">
        <f t="shared" si="21"/>
        <v>85</v>
      </c>
      <c r="B97" s="79" t="s">
        <v>165</v>
      </c>
      <c r="C97" s="85" t="s">
        <v>174</v>
      </c>
      <c r="D97" s="55">
        <f t="shared" si="19"/>
        <v>15</v>
      </c>
      <c r="E97" s="40" t="s">
        <v>113</v>
      </c>
      <c r="F97" s="56">
        <v>47.25</v>
      </c>
      <c r="G97" s="57">
        <f t="shared" si="20"/>
        <v>708.75</v>
      </c>
      <c r="H97" s="75"/>
      <c r="I97" s="71">
        <v>7</v>
      </c>
      <c r="J97" s="72">
        <v>0</v>
      </c>
      <c r="K97" s="72">
        <v>3</v>
      </c>
      <c r="L97" s="72">
        <f>3+12+6-K97</f>
        <v>18</v>
      </c>
      <c r="M97" s="72">
        <v>5</v>
      </c>
      <c r="N97" s="72">
        <v>0</v>
      </c>
      <c r="O97" s="73">
        <v>0</v>
      </c>
      <c r="P97" s="35">
        <v>1</v>
      </c>
    </row>
    <row r="98" spans="1:16" ht="35.25" customHeight="1">
      <c r="A98" s="36">
        <f t="shared" si="21"/>
        <v>86</v>
      </c>
      <c r="B98" s="79" t="s">
        <v>168</v>
      </c>
      <c r="C98" s="85" t="s">
        <v>175</v>
      </c>
      <c r="D98" s="55">
        <f t="shared" si="19"/>
        <v>34</v>
      </c>
      <c r="E98" s="40" t="s">
        <v>113</v>
      </c>
      <c r="F98" s="56">
        <v>74.25</v>
      </c>
      <c r="G98" s="57">
        <f t="shared" si="20"/>
        <v>2524.5</v>
      </c>
      <c r="H98" s="75"/>
      <c r="I98" s="71">
        <v>0</v>
      </c>
      <c r="J98" s="72">
        <v>0</v>
      </c>
      <c r="K98" s="72">
        <v>0</v>
      </c>
      <c r="L98" s="72">
        <v>0</v>
      </c>
      <c r="M98" s="72">
        <v>34</v>
      </c>
      <c r="N98" s="72">
        <v>0</v>
      </c>
      <c r="O98" s="73">
        <v>0</v>
      </c>
      <c r="P98" s="35">
        <v>1</v>
      </c>
    </row>
    <row r="99" spans="1:16" ht="35.25" customHeight="1" thickBot="1">
      <c r="A99" s="36">
        <f>A98+1</f>
        <v>87</v>
      </c>
      <c r="B99" s="79" t="s">
        <v>169</v>
      </c>
      <c r="C99" s="85" t="s">
        <v>170</v>
      </c>
      <c r="D99" s="55">
        <f t="shared" si="19"/>
        <v>276</v>
      </c>
      <c r="E99" s="40" t="s">
        <v>105</v>
      </c>
      <c r="F99" s="56">
        <v>149.9</v>
      </c>
      <c r="G99" s="57">
        <f t="shared" si="20"/>
        <v>41372.4</v>
      </c>
      <c r="H99" s="75"/>
      <c r="I99" s="71">
        <v>192</v>
      </c>
      <c r="J99" s="72">
        <v>81</v>
      </c>
      <c r="K99" s="72">
        <v>3</v>
      </c>
      <c r="L99" s="72">
        <f>45.5+303.5+777-K99</f>
        <v>1123</v>
      </c>
      <c r="M99" s="72">
        <v>0</v>
      </c>
      <c r="N99" s="72">
        <v>199</v>
      </c>
      <c r="O99" s="73">
        <v>0</v>
      </c>
      <c r="P99" s="35">
        <v>1</v>
      </c>
    </row>
    <row r="100" spans="1:16" ht="24.75" customHeight="1" thickBot="1">
      <c r="A100" s="87" t="s">
        <v>171</v>
      </c>
      <c r="B100" s="217" t="s">
        <v>117</v>
      </c>
      <c r="C100" s="218"/>
      <c r="D100" s="218"/>
      <c r="E100" s="218"/>
      <c r="F100" s="218"/>
      <c r="G100" s="219"/>
      <c r="H100" s="59">
        <f>SUM(G85:G99)</f>
        <v>90784.45000000001</v>
      </c>
      <c r="I100" s="214" t="s">
        <v>117</v>
      </c>
      <c r="J100" s="215"/>
      <c r="K100" s="215"/>
      <c r="L100" s="215"/>
      <c r="M100" s="215"/>
      <c r="N100" s="215"/>
      <c r="O100" s="216"/>
      <c r="P100" s="60"/>
    </row>
    <row r="101" spans="1:16" ht="45">
      <c r="A101" s="24">
        <f>A99+1</f>
        <v>88</v>
      </c>
      <c r="B101" s="88" t="s">
        <v>118</v>
      </c>
      <c r="C101" s="89" t="s">
        <v>234</v>
      </c>
      <c r="D101" s="39">
        <f>(I101*$I$6+J101*$J$6+K101*$K$6+L101*$L$6+M101*$M$6+N101*$N$6+O101*$O$6)*P101</f>
        <v>435.3</v>
      </c>
      <c r="E101" s="28" t="s">
        <v>105</v>
      </c>
      <c r="F101" s="41">
        <v>75.5</v>
      </c>
      <c r="G101" s="42">
        <f>ROUND(D101*F101,2)</f>
        <v>32865.15</v>
      </c>
      <c r="H101" s="31"/>
      <c r="I101" s="71">
        <v>243.9</v>
      </c>
      <c r="J101" s="72">
        <f>112.6</f>
        <v>112.6</v>
      </c>
      <c r="K101" s="72">
        <v>74.3</v>
      </c>
      <c r="L101" s="72">
        <f>74.3+328.5+431.8+961.5-K101</f>
        <v>1721.8</v>
      </c>
      <c r="M101" s="72">
        <v>4.5</v>
      </c>
      <c r="N101" s="72">
        <v>0</v>
      </c>
      <c r="O101" s="73">
        <v>50.4</v>
      </c>
      <c r="P101" s="35">
        <v>1</v>
      </c>
    </row>
    <row r="102" spans="1:16" ht="45">
      <c r="A102" s="36">
        <f>A101+1</f>
        <v>89</v>
      </c>
      <c r="B102" s="90" t="s">
        <v>118</v>
      </c>
      <c r="C102" s="91" t="s">
        <v>233</v>
      </c>
      <c r="D102" s="39">
        <f>(I102*$I$6+J102*$J$6+K102*$K$6+L102*$L$6+M102*$M$6+N102*$N$6+O102*$O$6)*P102</f>
        <v>49.5</v>
      </c>
      <c r="E102" s="92" t="s">
        <v>105</v>
      </c>
      <c r="F102" s="41">
        <v>72.8</v>
      </c>
      <c r="G102" s="42">
        <f>ROUND(D102*F102,2)</f>
        <v>3603.6</v>
      </c>
      <c r="H102" s="31"/>
      <c r="I102" s="71">
        <v>28</v>
      </c>
      <c r="J102" s="72">
        <v>0</v>
      </c>
      <c r="K102" s="72">
        <v>21.5</v>
      </c>
      <c r="L102" s="72">
        <f>21.5+137.5+206.5-K102</f>
        <v>344</v>
      </c>
      <c r="M102" s="72">
        <v>0</v>
      </c>
      <c r="N102" s="72">
        <v>0</v>
      </c>
      <c r="O102" s="73">
        <v>10</v>
      </c>
      <c r="P102" s="35">
        <v>1</v>
      </c>
    </row>
    <row r="103" spans="1:16" ht="45">
      <c r="A103" s="93">
        <f>A102+1</f>
        <v>90</v>
      </c>
      <c r="B103" s="79" t="s">
        <v>142</v>
      </c>
      <c r="C103" s="85" t="s">
        <v>211</v>
      </c>
      <c r="D103" s="39">
        <f>(I103*$I$6+J103*$J$6+K103*$K$6+L103*$L$6+M103*$M$6+N103*$N$6+O103*$O$6)*P103</f>
        <v>1222.1</v>
      </c>
      <c r="E103" s="40" t="s">
        <v>105</v>
      </c>
      <c r="F103" s="41">
        <v>73.3</v>
      </c>
      <c r="G103" s="42">
        <f>ROUND(D103*F103,2)</f>
        <v>89579.93</v>
      </c>
      <c r="H103" s="31"/>
      <c r="I103" s="71">
        <v>1222.1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3">
        <v>0</v>
      </c>
      <c r="P103" s="35">
        <v>1</v>
      </c>
    </row>
    <row r="104" spans="1:16" ht="48.75" customHeight="1">
      <c r="A104" s="36">
        <f>A103+1</f>
        <v>91</v>
      </c>
      <c r="B104" s="94" t="s">
        <v>142</v>
      </c>
      <c r="C104" s="95" t="s">
        <v>278</v>
      </c>
      <c r="D104" s="39">
        <f>(I104*$I$6+J104*$J$6+K104*$K$6+L104*$L$6+M104*$M$6+N104*$N$6+O104*$O$6)*P104</f>
        <v>901.1</v>
      </c>
      <c r="E104" s="96" t="s">
        <v>105</v>
      </c>
      <c r="F104" s="41">
        <v>69.5</v>
      </c>
      <c r="G104" s="42">
        <f>ROUND(D104*F104,2)</f>
        <v>62626.45</v>
      </c>
      <c r="H104" s="97"/>
      <c r="I104" s="71">
        <v>0</v>
      </c>
      <c r="J104" s="72">
        <v>106.4</v>
      </c>
      <c r="K104" s="72">
        <v>794.7</v>
      </c>
      <c r="L104" s="72">
        <f>697.5+583.7+3244.9-106.4-K104</f>
        <v>3625.000000000001</v>
      </c>
      <c r="M104" s="72">
        <v>0</v>
      </c>
      <c r="N104" s="72">
        <v>0</v>
      </c>
      <c r="O104" s="73">
        <v>87.25</v>
      </c>
      <c r="P104" s="35">
        <v>1</v>
      </c>
    </row>
    <row r="105" spans="1:16" ht="37.5" customHeight="1" thickBot="1">
      <c r="A105" s="98">
        <f>A104+1</f>
        <v>92</v>
      </c>
      <c r="B105" s="99" t="s">
        <v>129</v>
      </c>
      <c r="C105" s="100" t="s">
        <v>221</v>
      </c>
      <c r="D105" s="101">
        <f>(I105*$I$6+J105*$J$6+K105*$K$6+L105*$L$6+M105*$M$6+N105*$N$6+O105*$O$6)*P105</f>
        <v>2211.7000000000003</v>
      </c>
      <c r="E105" s="102" t="s">
        <v>105</v>
      </c>
      <c r="F105" s="41">
        <v>39.4</v>
      </c>
      <c r="G105" s="42">
        <f>ROUND(D105*F105,2)</f>
        <v>87140.98</v>
      </c>
      <c r="H105" s="74"/>
      <c r="I105" s="103">
        <v>1423.4</v>
      </c>
      <c r="J105" s="82">
        <f>155.65+59</f>
        <v>214.65</v>
      </c>
      <c r="K105" s="82">
        <v>537.8</v>
      </c>
      <c r="L105" s="82">
        <f>655.2+2324+5828.7-155.65+363.5-K105</f>
        <v>8477.95</v>
      </c>
      <c r="M105" s="82">
        <v>35.85</v>
      </c>
      <c r="N105" s="82">
        <v>0</v>
      </c>
      <c r="O105" s="104">
        <v>60.65</v>
      </c>
      <c r="P105" s="35">
        <v>1</v>
      </c>
    </row>
    <row r="106" spans="1:16" ht="24.75" customHeight="1" thickBot="1">
      <c r="A106" s="20" t="s">
        <v>179</v>
      </c>
      <c r="B106" s="211" t="s">
        <v>180</v>
      </c>
      <c r="C106" s="212"/>
      <c r="D106" s="212"/>
      <c r="E106" s="212"/>
      <c r="F106" s="212"/>
      <c r="G106" s="213"/>
      <c r="H106" s="77">
        <f>SUM(G101:G105)</f>
        <v>275816.11</v>
      </c>
      <c r="I106" s="105"/>
      <c r="J106" s="105"/>
      <c r="K106" s="105"/>
      <c r="L106" s="105"/>
      <c r="M106" s="105"/>
      <c r="N106" s="105"/>
      <c r="O106" s="105"/>
      <c r="P106" s="60"/>
    </row>
    <row r="107" spans="1:17" ht="43.5" customHeight="1">
      <c r="A107" s="24">
        <f>A105+1</f>
        <v>93</v>
      </c>
      <c r="B107" s="106" t="s">
        <v>185</v>
      </c>
      <c r="C107" s="89" t="s">
        <v>262</v>
      </c>
      <c r="D107" s="39">
        <f aca="true" t="shared" si="22" ref="D107:D115">(I107*$I$6+J107*$J$6+K107*$K$6+L107*$L$6+M107*$M$6+N107*$N$6+O107*$O$6)*P107</f>
        <v>48</v>
      </c>
      <c r="E107" s="28" t="s">
        <v>105</v>
      </c>
      <c r="F107" s="29">
        <v>94.25</v>
      </c>
      <c r="G107" s="42">
        <f aca="true" t="shared" si="23" ref="G107:G115">ROUND(D107*F107,2)</f>
        <v>4524</v>
      </c>
      <c r="H107" s="31"/>
      <c r="I107" s="107">
        <v>0</v>
      </c>
      <c r="J107" s="108">
        <v>0</v>
      </c>
      <c r="K107" s="108">
        <v>0</v>
      </c>
      <c r="L107" s="108">
        <v>0</v>
      </c>
      <c r="M107" s="108">
        <v>48</v>
      </c>
      <c r="N107" s="108">
        <v>0</v>
      </c>
      <c r="O107" s="109">
        <v>0</v>
      </c>
      <c r="P107" s="35">
        <v>1</v>
      </c>
      <c r="Q107" s="110"/>
    </row>
    <row r="108" spans="1:16" ht="36" customHeight="1">
      <c r="A108" s="111">
        <f>A107+1</f>
        <v>94</v>
      </c>
      <c r="B108" s="37" t="s">
        <v>185</v>
      </c>
      <c r="C108" s="95" t="s">
        <v>263</v>
      </c>
      <c r="D108" s="39">
        <f t="shared" si="22"/>
        <v>6</v>
      </c>
      <c r="E108" s="40" t="s">
        <v>113</v>
      </c>
      <c r="F108" s="56">
        <v>682.3</v>
      </c>
      <c r="G108" s="42">
        <f t="shared" si="23"/>
        <v>4093.8</v>
      </c>
      <c r="H108" s="31"/>
      <c r="I108" s="107">
        <v>6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73">
        <v>0</v>
      </c>
      <c r="P108" s="35">
        <v>1</v>
      </c>
    </row>
    <row r="109" spans="1:16" ht="67.5" customHeight="1">
      <c r="A109" s="111">
        <f aca="true" t="shared" si="24" ref="A109:A115">A108+1</f>
        <v>95</v>
      </c>
      <c r="B109" s="37" t="s">
        <v>185</v>
      </c>
      <c r="C109" s="95" t="s">
        <v>264</v>
      </c>
      <c r="D109" s="39">
        <f t="shared" si="22"/>
        <v>430</v>
      </c>
      <c r="E109" s="40" t="s">
        <v>105</v>
      </c>
      <c r="F109" s="56">
        <v>81</v>
      </c>
      <c r="G109" s="42">
        <f t="shared" si="23"/>
        <v>34830</v>
      </c>
      <c r="H109" s="31"/>
      <c r="I109" s="107">
        <v>0</v>
      </c>
      <c r="J109" s="108">
        <v>0</v>
      </c>
      <c r="K109" s="108">
        <v>0</v>
      </c>
      <c r="L109" s="108">
        <v>0</v>
      </c>
      <c r="M109" s="108">
        <v>430</v>
      </c>
      <c r="N109" s="108">
        <v>0</v>
      </c>
      <c r="O109" s="73">
        <v>0</v>
      </c>
      <c r="P109" s="35">
        <v>1</v>
      </c>
    </row>
    <row r="110" spans="1:16" ht="41.25" customHeight="1">
      <c r="A110" s="111">
        <f t="shared" si="24"/>
        <v>96</v>
      </c>
      <c r="B110" s="37" t="s">
        <v>185</v>
      </c>
      <c r="C110" s="95" t="s">
        <v>265</v>
      </c>
      <c r="D110" s="39">
        <f t="shared" si="22"/>
        <v>430</v>
      </c>
      <c r="E110" s="40" t="s">
        <v>105</v>
      </c>
      <c r="F110" s="56">
        <v>14.1</v>
      </c>
      <c r="G110" s="42">
        <f t="shared" si="23"/>
        <v>6063</v>
      </c>
      <c r="H110" s="31"/>
      <c r="I110" s="107">
        <v>0</v>
      </c>
      <c r="J110" s="108">
        <v>0</v>
      </c>
      <c r="K110" s="108">
        <v>0</v>
      </c>
      <c r="L110" s="108">
        <v>0</v>
      </c>
      <c r="M110" s="108">
        <v>430</v>
      </c>
      <c r="N110" s="108">
        <v>0</v>
      </c>
      <c r="O110" s="109">
        <v>0</v>
      </c>
      <c r="P110" s="35">
        <v>1</v>
      </c>
    </row>
    <row r="111" spans="1:16" ht="41.25" customHeight="1">
      <c r="A111" s="111">
        <f t="shared" si="24"/>
        <v>97</v>
      </c>
      <c r="B111" s="112" t="s">
        <v>185</v>
      </c>
      <c r="C111" s="95" t="s">
        <v>187</v>
      </c>
      <c r="D111" s="39">
        <f t="shared" si="22"/>
        <v>1</v>
      </c>
      <c r="E111" s="96" t="s">
        <v>188</v>
      </c>
      <c r="F111" s="41">
        <v>1266.79</v>
      </c>
      <c r="G111" s="42">
        <f t="shared" si="23"/>
        <v>1266.79</v>
      </c>
      <c r="H111" s="31"/>
      <c r="I111" s="107">
        <v>0</v>
      </c>
      <c r="J111" s="108">
        <v>0</v>
      </c>
      <c r="K111" s="108">
        <v>0</v>
      </c>
      <c r="L111" s="108">
        <v>0</v>
      </c>
      <c r="M111" s="108">
        <v>1</v>
      </c>
      <c r="N111" s="108">
        <v>0</v>
      </c>
      <c r="O111" s="73">
        <v>0</v>
      </c>
      <c r="P111" s="35">
        <v>1</v>
      </c>
    </row>
    <row r="112" spans="1:16" ht="46.5" customHeight="1">
      <c r="A112" s="111">
        <f t="shared" si="24"/>
        <v>98</v>
      </c>
      <c r="B112" s="37" t="s">
        <v>185</v>
      </c>
      <c r="C112" s="85" t="s">
        <v>189</v>
      </c>
      <c r="D112" s="39">
        <f t="shared" si="22"/>
        <v>23</v>
      </c>
      <c r="E112" s="40" t="s">
        <v>188</v>
      </c>
      <c r="F112" s="56">
        <v>232.4</v>
      </c>
      <c r="G112" s="42">
        <f t="shared" si="23"/>
        <v>5345.2</v>
      </c>
      <c r="H112" s="31"/>
      <c r="I112" s="107">
        <v>0</v>
      </c>
      <c r="J112" s="108">
        <v>0</v>
      </c>
      <c r="K112" s="108">
        <v>0</v>
      </c>
      <c r="L112" s="108">
        <v>0</v>
      </c>
      <c r="M112" s="108">
        <v>23</v>
      </c>
      <c r="N112" s="108">
        <v>0</v>
      </c>
      <c r="O112" s="73">
        <v>0</v>
      </c>
      <c r="P112" s="35">
        <v>1</v>
      </c>
    </row>
    <row r="113" spans="1:16" ht="55.5" customHeight="1">
      <c r="A113" s="111">
        <f t="shared" si="24"/>
        <v>99</v>
      </c>
      <c r="B113" s="37" t="s">
        <v>186</v>
      </c>
      <c r="C113" s="95" t="s">
        <v>266</v>
      </c>
      <c r="D113" s="39">
        <f t="shared" si="22"/>
        <v>89</v>
      </c>
      <c r="E113" s="96" t="s">
        <v>105</v>
      </c>
      <c r="F113" s="41">
        <v>108</v>
      </c>
      <c r="G113" s="42">
        <f t="shared" si="23"/>
        <v>9612</v>
      </c>
      <c r="H113" s="31"/>
      <c r="I113" s="107">
        <v>79</v>
      </c>
      <c r="J113" s="108">
        <v>0</v>
      </c>
      <c r="K113" s="108">
        <v>10</v>
      </c>
      <c r="L113" s="108">
        <v>77</v>
      </c>
      <c r="M113" s="108">
        <v>0</v>
      </c>
      <c r="N113" s="108">
        <v>0</v>
      </c>
      <c r="O113" s="109">
        <v>0</v>
      </c>
      <c r="P113" s="35">
        <v>1</v>
      </c>
    </row>
    <row r="114" spans="1:16" ht="70.5" customHeight="1">
      <c r="A114" s="111">
        <f t="shared" si="24"/>
        <v>100</v>
      </c>
      <c r="B114" s="37" t="s">
        <v>186</v>
      </c>
      <c r="C114" s="95" t="s">
        <v>267</v>
      </c>
      <c r="D114" s="39">
        <f t="shared" si="22"/>
        <v>110</v>
      </c>
      <c r="E114" s="96" t="s">
        <v>105</v>
      </c>
      <c r="F114" s="56">
        <v>128.3</v>
      </c>
      <c r="G114" s="42">
        <f t="shared" si="23"/>
        <v>14113</v>
      </c>
      <c r="H114" s="31"/>
      <c r="I114" s="71">
        <v>55</v>
      </c>
      <c r="J114" s="72">
        <v>0</v>
      </c>
      <c r="K114" s="72">
        <v>55</v>
      </c>
      <c r="L114" s="72">
        <v>0</v>
      </c>
      <c r="M114" s="72">
        <v>0</v>
      </c>
      <c r="N114" s="72">
        <v>1</v>
      </c>
      <c r="O114" s="73">
        <v>0</v>
      </c>
      <c r="P114" s="35">
        <v>1</v>
      </c>
    </row>
    <row r="115" spans="1:16" ht="39" customHeight="1" thickBot="1">
      <c r="A115" s="93">
        <f t="shared" si="24"/>
        <v>101</v>
      </c>
      <c r="B115" s="113" t="s">
        <v>186</v>
      </c>
      <c r="C115" s="91" t="s">
        <v>268</v>
      </c>
      <c r="D115" s="114">
        <f t="shared" si="22"/>
        <v>2</v>
      </c>
      <c r="E115" s="92" t="s">
        <v>113</v>
      </c>
      <c r="F115" s="115">
        <f>F108</f>
        <v>682.3</v>
      </c>
      <c r="G115" s="116">
        <f t="shared" si="23"/>
        <v>1364.6</v>
      </c>
      <c r="H115" s="31"/>
      <c r="I115" s="117">
        <v>1</v>
      </c>
      <c r="J115" s="118">
        <v>0</v>
      </c>
      <c r="K115" s="118">
        <v>1</v>
      </c>
      <c r="L115" s="118">
        <v>0</v>
      </c>
      <c r="M115" s="118">
        <v>0</v>
      </c>
      <c r="N115" s="118">
        <v>1</v>
      </c>
      <c r="O115" s="119">
        <v>0</v>
      </c>
      <c r="P115" s="35">
        <v>1</v>
      </c>
    </row>
    <row r="116" spans="1:8" ht="35.25" customHeight="1">
      <c r="A116" s="220" t="s">
        <v>269</v>
      </c>
      <c r="B116" s="221"/>
      <c r="C116" s="221"/>
      <c r="D116" s="221"/>
      <c r="E116" s="221"/>
      <c r="F116" s="222"/>
      <c r="G116" s="120">
        <f>SUM(G7:G115)</f>
        <v>3654748.9000000004</v>
      </c>
      <c r="H116" s="59">
        <f>SUM(G107:G115)</f>
        <v>81212.39000000001</v>
      </c>
    </row>
    <row r="117" spans="1:7" ht="35.25" customHeight="1">
      <c r="A117" s="223" t="s">
        <v>270</v>
      </c>
      <c r="B117" s="224"/>
      <c r="C117" s="224"/>
      <c r="D117" s="224"/>
      <c r="E117" s="224"/>
      <c r="F117" s="225"/>
      <c r="G117" s="121">
        <f>G116-G118</f>
        <v>683408.3308943091</v>
      </c>
    </row>
    <row r="118" spans="1:8" ht="35.25" customHeight="1" thickBot="1">
      <c r="A118" s="208" t="s">
        <v>271</v>
      </c>
      <c r="B118" s="209"/>
      <c r="C118" s="209"/>
      <c r="D118" s="209"/>
      <c r="E118" s="209"/>
      <c r="F118" s="210"/>
      <c r="G118" s="122">
        <f>G116/1.23</f>
        <v>2971340.5691056913</v>
      </c>
      <c r="H118" s="123">
        <f>SUM(H36:H116)</f>
        <v>3654748.900000001</v>
      </c>
    </row>
    <row r="121" ht="19.5" thickBot="1"/>
    <row r="122" ht="18.75">
      <c r="G122" s="126"/>
    </row>
    <row r="123" ht="18.75">
      <c r="H123" s="127"/>
    </row>
    <row r="124" spans="7:8" ht="18.75">
      <c r="G124" s="128">
        <v>7837604.8</v>
      </c>
      <c r="H124" s="127"/>
    </row>
    <row r="125" ht="18.75">
      <c r="G125" s="129"/>
    </row>
    <row r="126" spans="6:7" ht="18.75">
      <c r="F126" s="124" t="s">
        <v>272</v>
      </c>
      <c r="G126" s="130">
        <v>4182855.96</v>
      </c>
    </row>
    <row r="127" spans="6:7" ht="18.75">
      <c r="F127" s="124" t="s">
        <v>273</v>
      </c>
      <c r="G127" s="130">
        <f>G116</f>
        <v>3654748.9000000004</v>
      </c>
    </row>
    <row r="129" ht="18.75">
      <c r="G129" s="131">
        <f>G126+G127</f>
        <v>7837604.86</v>
      </c>
    </row>
  </sheetData>
  <sheetProtection sheet="1" objects="1" scenarios="1" formatCells="0" formatColumns="0" formatRows="0" insertColumns="0" insertRows="0" insertHyperlinks="0" deleteColumns="0" deleteRows="0" sort="0"/>
  <mergeCells count="34">
    <mergeCell ref="P3:P4"/>
    <mergeCell ref="A1:G1"/>
    <mergeCell ref="A2:G2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B38:G38"/>
    <mergeCell ref="I38:O38"/>
    <mergeCell ref="A116:F116"/>
    <mergeCell ref="A117:F117"/>
    <mergeCell ref="B55:G55"/>
    <mergeCell ref="I55:O55"/>
    <mergeCell ref="O3:O4"/>
    <mergeCell ref="B6:G6"/>
    <mergeCell ref="B36:G36"/>
    <mergeCell ref="I36:O36"/>
    <mergeCell ref="I3:I4"/>
    <mergeCell ref="J3:J4"/>
    <mergeCell ref="A118:F118"/>
    <mergeCell ref="B65:G65"/>
    <mergeCell ref="I65:O65"/>
    <mergeCell ref="B81:G81"/>
    <mergeCell ref="I81:O81"/>
    <mergeCell ref="B84:G84"/>
    <mergeCell ref="I84:O84"/>
    <mergeCell ref="B100:G100"/>
    <mergeCell ref="I100:O100"/>
    <mergeCell ref="B106:G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Sylwia</cp:lastModifiedBy>
  <cp:lastPrinted>2018-05-22T05:37:28Z</cp:lastPrinted>
  <dcterms:created xsi:type="dcterms:W3CDTF">2014-07-06T09:10:14Z</dcterms:created>
  <dcterms:modified xsi:type="dcterms:W3CDTF">2018-06-13T07:12:14Z</dcterms:modified>
  <cp:category/>
  <cp:version/>
  <cp:contentType/>
  <cp:contentStatus/>
</cp:coreProperties>
</file>